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esnic\Desktop\"/>
    </mc:Choice>
  </mc:AlternateContent>
  <xr:revisionPtr revIDLastSave="0" documentId="8_{BED34DAF-C26B-4D17-B042-58844CFF1DC8}" xr6:coauthVersionLast="36" xr6:coauthVersionMax="36" xr10:uidLastSave="{00000000-0000-0000-0000-000000000000}"/>
  <bookViews>
    <workbookView xWindow="-15" yWindow="4665" windowWidth="15570" windowHeight="1890" xr2:uid="{00000000-000D-0000-FFFF-FFFF00000000}"/>
  </bookViews>
  <sheets>
    <sheet name="Template" sheetId="1" r:id="rId1"/>
    <sheet name="Cost avoidance" sheetId="4" r:id="rId2"/>
    <sheet name="Pricelist" sheetId="2" r:id="rId3"/>
    <sheet name="Departments" sheetId="3" r:id="rId4"/>
  </sheets>
  <definedNames>
    <definedName name="_xlnm._FilterDatabase" localSheetId="1" hidden="1">'Cost avoidance'!#REF!</definedName>
    <definedName name="_xlnm._FilterDatabase" localSheetId="3" hidden="1">Departments!$A$1:$A$50</definedName>
    <definedName name="_xlnm._FilterDatabase" localSheetId="0" hidden="1">Template!$A$66:$G$67</definedName>
    <definedName name="_xlnm.Extract" localSheetId="3">Departments!$K$6:$K$8</definedName>
    <definedName name="Funding_Stream">Departments!$O$2:$O$5</definedName>
    <definedName name="Funding_Stream1">Departments!$Q$2:$Q$5</definedName>
    <definedName name="Funding_Stream2">Departments!$S$2:$S$6</definedName>
    <definedName name="image">Pricelist!$B$26:$B$60</definedName>
    <definedName name="_xlnm.Print_Area" localSheetId="3">Departments!$O$1:$R$6</definedName>
    <definedName name="_xlnm.Print_Area" localSheetId="2">Pricelist!$A$1:$H$99</definedName>
    <definedName name="recruitdescription">Departments!$J$2:$J$14</definedName>
    <definedName name="screeningdescription">Departments!$E$2:$E$8</definedName>
    <definedName name="Service_support">Departments!$S$2</definedName>
    <definedName name="specialty">Departments!$A$2:$A$50</definedName>
    <definedName name="yesno">Departments!$X$1:$X$2</definedName>
    <definedName name="yespharm">Departments!$Y$1:$Y$4</definedName>
  </definedNames>
  <calcPr calcId="191029"/>
</workbook>
</file>

<file path=xl/calcChain.xml><?xml version="1.0" encoding="utf-8"?>
<calcChain xmlns="http://schemas.openxmlformats.org/spreadsheetml/2006/main">
  <c r="K9" i="1" l="1"/>
  <c r="J9" i="1"/>
  <c r="H9" i="1"/>
  <c r="G9" i="1"/>
  <c r="I9" i="1"/>
  <c r="I28" i="1" l="1"/>
  <c r="F69" i="4" l="1"/>
  <c r="F68" i="4"/>
  <c r="F65" i="4"/>
  <c r="F64" i="4"/>
  <c r="G10" i="4" s="1"/>
  <c r="D64" i="4"/>
  <c r="D65" i="4"/>
  <c r="D68" i="4"/>
  <c r="D69" i="4"/>
  <c r="F59" i="4"/>
  <c r="F22" i="4"/>
  <c r="F46" i="4" s="1"/>
  <c r="F62" i="4" s="1"/>
  <c r="F72" i="4" s="1"/>
  <c r="B19" i="4"/>
  <c r="B18" i="4"/>
  <c r="B17" i="4"/>
  <c r="B16" i="4"/>
  <c r="B15" i="4"/>
  <c r="B14" i="4"/>
  <c r="B13" i="4"/>
  <c r="B12" i="4"/>
  <c r="B11" i="4"/>
  <c r="B10" i="4"/>
  <c r="D75" i="4" l="1"/>
  <c r="F75" i="4" s="1"/>
  <c r="D73" i="4"/>
  <c r="F73" i="4" s="1"/>
  <c r="D58" i="4"/>
  <c r="F58" i="4" s="1"/>
  <c r="D57" i="4"/>
  <c r="F57" i="4" s="1"/>
  <c r="D56" i="4"/>
  <c r="F56" i="4" s="1"/>
  <c r="D52" i="4"/>
  <c r="F52" i="4" s="1"/>
  <c r="D51" i="4"/>
  <c r="F51" i="4" s="1"/>
  <c r="D50" i="4"/>
  <c r="F50" i="4" s="1"/>
  <c r="D49" i="4"/>
  <c r="F49" i="4" s="1"/>
  <c r="D48" i="4"/>
  <c r="F48" i="4" s="1"/>
  <c r="G9" i="4" l="1"/>
  <c r="J70" i="1"/>
  <c r="H77" i="1" l="1"/>
  <c r="I76" i="1"/>
  <c r="J23" i="1" l="1"/>
  <c r="J72" i="1" s="1"/>
  <c r="J81" i="1" s="1"/>
  <c r="I23" i="1"/>
  <c r="I46" i="1" s="1"/>
  <c r="I61" i="1" s="1"/>
  <c r="I72" i="1" l="1"/>
  <c r="I81" i="1" s="1"/>
  <c r="I85" i="1" s="1"/>
  <c r="H90" i="1" s="1"/>
  <c r="E90" i="1" s="1"/>
  <c r="C15" i="2" l="1"/>
  <c r="C14" i="2"/>
  <c r="K14" i="2" s="1"/>
  <c r="C13" i="2"/>
  <c r="K13" i="2" s="1"/>
  <c r="C73" i="2" s="1"/>
  <c r="B67" i="1"/>
  <c r="A67" i="1"/>
  <c r="J83" i="1"/>
  <c r="J82" i="1"/>
  <c r="H82" i="1"/>
  <c r="G82" i="1"/>
  <c r="J74" i="1"/>
  <c r="J75" i="1"/>
  <c r="J79" i="1"/>
  <c r="J78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48" i="1"/>
  <c r="G49" i="1"/>
  <c r="G50" i="1"/>
  <c r="G51" i="1"/>
  <c r="G52" i="1"/>
  <c r="G56" i="1"/>
  <c r="G57" i="1"/>
  <c r="G58" i="1"/>
  <c r="H63" i="1"/>
  <c r="H64" i="1"/>
  <c r="D51" i="1"/>
  <c r="H65" i="1" s="1"/>
  <c r="D52" i="1"/>
  <c r="G66" i="1" s="1"/>
  <c r="H56" i="1"/>
  <c r="G59" i="1"/>
  <c r="G70" i="1"/>
  <c r="G74" i="1"/>
  <c r="G75" i="1"/>
  <c r="G83" i="1"/>
  <c r="G86" i="1"/>
  <c r="G87" i="1"/>
  <c r="G88" i="1"/>
  <c r="D86" i="1"/>
  <c r="F91" i="1" s="1"/>
  <c r="D88" i="1"/>
  <c r="G93" i="1" s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48" i="1"/>
  <c r="H49" i="1"/>
  <c r="H50" i="1"/>
  <c r="H51" i="1"/>
  <c r="H52" i="1"/>
  <c r="H57" i="1"/>
  <c r="H58" i="1"/>
  <c r="H62" i="1"/>
  <c r="H59" i="1"/>
  <c r="H70" i="1"/>
  <c r="H74" i="1"/>
  <c r="H75" i="1"/>
  <c r="H83" i="1"/>
  <c r="H86" i="1"/>
  <c r="H87" i="1"/>
  <c r="H88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48" i="1"/>
  <c r="I49" i="1"/>
  <c r="I50" i="1"/>
  <c r="I51" i="1"/>
  <c r="I52" i="1"/>
  <c r="I56" i="1"/>
  <c r="I57" i="1"/>
  <c r="I58" i="1"/>
  <c r="I62" i="1"/>
  <c r="I65" i="1"/>
  <c r="I59" i="1"/>
  <c r="I70" i="1"/>
  <c r="I74" i="1"/>
  <c r="I75" i="1"/>
  <c r="I82" i="1"/>
  <c r="I83" i="1"/>
  <c r="I86" i="1"/>
  <c r="I87" i="1"/>
  <c r="I88" i="1"/>
  <c r="H13" i="2"/>
  <c r="D74" i="4"/>
  <c r="F74" i="4" s="1"/>
  <c r="G11" i="4" s="1"/>
  <c r="D87" i="1"/>
  <c r="G92" i="1" s="1"/>
  <c r="H14" i="2"/>
  <c r="H15" i="2"/>
  <c r="F13" i="2"/>
  <c r="D78" i="1"/>
  <c r="I78" i="1"/>
  <c r="I79" i="1"/>
  <c r="H78" i="1"/>
  <c r="H79" i="1"/>
  <c r="H20" i="1" s="1"/>
  <c r="G78" i="1"/>
  <c r="G79" i="1"/>
  <c r="G20" i="1" s="1"/>
  <c r="D79" i="1"/>
  <c r="B93" i="1"/>
  <c r="B92" i="1"/>
  <c r="B91" i="1"/>
  <c r="B83" i="1"/>
  <c r="B82" i="1"/>
  <c r="B70" i="1"/>
  <c r="B69" i="1"/>
  <c r="B68" i="1"/>
  <c r="B66" i="1"/>
  <c r="B65" i="1"/>
  <c r="B64" i="1"/>
  <c r="B63" i="1"/>
  <c r="B62" i="1"/>
  <c r="A93" i="1"/>
  <c r="A92" i="1"/>
  <c r="A91" i="1"/>
  <c r="A83" i="1"/>
  <c r="A82" i="1"/>
  <c r="A70" i="1"/>
  <c r="A69" i="1"/>
  <c r="A68" i="1"/>
  <c r="A66" i="1"/>
  <c r="A65" i="1"/>
  <c r="A64" i="1"/>
  <c r="A63" i="1"/>
  <c r="A62" i="1"/>
  <c r="D74" i="1"/>
  <c r="D75" i="1"/>
  <c r="H92" i="1"/>
  <c r="I64" i="1"/>
  <c r="H66" i="1"/>
  <c r="I8" i="1" l="1"/>
  <c r="H11" i="1"/>
  <c r="F93" i="1"/>
  <c r="I63" i="1"/>
  <c r="J11" i="1"/>
  <c r="H91" i="1"/>
  <c r="I66" i="1"/>
  <c r="J66" i="1"/>
  <c r="G62" i="1"/>
  <c r="J62" i="1"/>
  <c r="G65" i="1"/>
  <c r="J65" i="1"/>
  <c r="G64" i="1"/>
  <c r="J64" i="1"/>
  <c r="G63" i="1"/>
  <c r="J63" i="1"/>
  <c r="G69" i="1"/>
  <c r="J69" i="1"/>
  <c r="G68" i="1"/>
  <c r="J68" i="1"/>
  <c r="G67" i="1"/>
  <c r="J67" i="1"/>
  <c r="F42" i="4"/>
  <c r="F24" i="4"/>
  <c r="F37" i="4"/>
  <c r="F40" i="4"/>
  <c r="F39" i="4"/>
  <c r="F35" i="4"/>
  <c r="F31" i="4"/>
  <c r="F27" i="4"/>
  <c r="F38" i="4"/>
  <c r="F34" i="4"/>
  <c r="F30" i="4"/>
  <c r="F26" i="4"/>
  <c r="F41" i="4"/>
  <c r="F33" i="4"/>
  <c r="F29" i="4"/>
  <c r="F25" i="4"/>
  <c r="F36" i="4"/>
  <c r="F32" i="4"/>
  <c r="F28" i="4"/>
  <c r="G8" i="1"/>
  <c r="J8" i="1"/>
  <c r="H8" i="1"/>
  <c r="G19" i="1"/>
  <c r="G21" i="1" s="1"/>
  <c r="G11" i="1"/>
  <c r="I11" i="1"/>
  <c r="H93" i="1"/>
  <c r="I68" i="1"/>
  <c r="G91" i="1"/>
  <c r="H12" i="1" s="1"/>
  <c r="I67" i="1"/>
  <c r="H67" i="1"/>
  <c r="H69" i="1"/>
  <c r="I69" i="1"/>
  <c r="H68" i="1"/>
  <c r="F92" i="1"/>
  <c r="G12" i="1" l="1"/>
  <c r="K12" i="1" s="1"/>
  <c r="I12" i="1"/>
  <c r="K11" i="1"/>
  <c r="G10" i="1"/>
  <c r="J10" i="1"/>
  <c r="J13" i="1" s="1"/>
  <c r="G8" i="4"/>
  <c r="G12" i="4" s="1"/>
  <c r="G14" i="4" s="1"/>
  <c r="K8" i="1"/>
  <c r="H10" i="1"/>
  <c r="I10" i="1"/>
  <c r="I13" i="1" s="1"/>
  <c r="G13" i="1" l="1"/>
  <c r="K10" i="1"/>
  <c r="H13" i="1"/>
  <c r="K13" i="1" s="1"/>
  <c r="K14" i="1" s="1"/>
</calcChain>
</file>

<file path=xl/sharedStrings.xml><?xml version="1.0" encoding="utf-8"?>
<sst xmlns="http://schemas.openxmlformats.org/spreadsheetml/2006/main" count="370" uniqueCount="253">
  <si>
    <t>UKCRN Study Number</t>
  </si>
  <si>
    <t>Principal Investigator</t>
  </si>
  <si>
    <t>Study Site</t>
  </si>
  <si>
    <t>Nurse Time</t>
  </si>
  <si>
    <t>Admin Time</t>
  </si>
  <si>
    <t>Clinician Time</t>
  </si>
  <si>
    <t>Department</t>
  </si>
  <si>
    <t>O&amp;G</t>
  </si>
  <si>
    <t>Paediatrics</t>
  </si>
  <si>
    <t>Clinical Genetics</t>
  </si>
  <si>
    <t>A&amp;E</t>
  </si>
  <si>
    <t>ICU</t>
  </si>
  <si>
    <t>Anaesthetics</t>
  </si>
  <si>
    <t>Pain</t>
  </si>
  <si>
    <t>Theatres</t>
  </si>
  <si>
    <t>Histopathology</t>
  </si>
  <si>
    <t>Chemistry</t>
  </si>
  <si>
    <t>Microbiology</t>
  </si>
  <si>
    <t>Immunology</t>
  </si>
  <si>
    <t>Radiology</t>
  </si>
  <si>
    <t>Nuclear Medicine</t>
  </si>
  <si>
    <t>Cardiology</t>
  </si>
  <si>
    <t xml:space="preserve">Dermatology </t>
  </si>
  <si>
    <t>Eld. Care &amp; Stroke</t>
  </si>
  <si>
    <t>EMU</t>
  </si>
  <si>
    <t>Gastro.</t>
  </si>
  <si>
    <t xml:space="preserve">Haematology </t>
  </si>
  <si>
    <t>Neur. &amp; Rehab</t>
  </si>
  <si>
    <t xml:space="preserve">Oncology </t>
  </si>
  <si>
    <t xml:space="preserve">Renal </t>
  </si>
  <si>
    <t xml:space="preserve">Respiratory </t>
  </si>
  <si>
    <t>Palliative Care</t>
  </si>
  <si>
    <t>Resuscitation</t>
  </si>
  <si>
    <t>Nursing</t>
  </si>
  <si>
    <t>Governance</t>
  </si>
  <si>
    <t>Occupational Health</t>
  </si>
  <si>
    <t>Human Resources</t>
  </si>
  <si>
    <t>Nutrition &amp; Diet</t>
  </si>
  <si>
    <t>Occup. Therapy</t>
  </si>
  <si>
    <t>Physiotherapy</t>
  </si>
  <si>
    <t>Medical Physics</t>
  </si>
  <si>
    <t>Pharmacy</t>
  </si>
  <si>
    <t>Mobility Centre</t>
  </si>
  <si>
    <t>ENT</t>
  </si>
  <si>
    <t>Opthalmology</t>
  </si>
  <si>
    <t>Plastic Surgery</t>
  </si>
  <si>
    <t>Maxillo-Facial</t>
  </si>
  <si>
    <t>General Surgery</t>
  </si>
  <si>
    <t>Urology</t>
  </si>
  <si>
    <t>Stoma</t>
  </si>
  <si>
    <t>Trauma &amp; Ortho</t>
  </si>
  <si>
    <t>Rheumatology</t>
  </si>
  <si>
    <t>R&amp;D</t>
  </si>
  <si>
    <t>Diabetes &amp; Endocrine</t>
  </si>
  <si>
    <t>STAFF COSTS</t>
  </si>
  <si>
    <t>Secondary Care</t>
  </si>
  <si>
    <t>Consultant</t>
  </si>
  <si>
    <t>Nurse</t>
  </si>
  <si>
    <t>Admin</t>
  </si>
  <si>
    <t>Primary Care</t>
  </si>
  <si>
    <t>GP</t>
  </si>
  <si>
    <t>Practice Nurse</t>
  </si>
  <si>
    <t>Practice Manager</t>
  </si>
  <si>
    <t>Admin cost</t>
  </si>
  <si>
    <t>DIAGNOSTIC COSTS</t>
  </si>
  <si>
    <t>Magnetic Resonance Imaging Scan, one area, no contrast</t>
  </si>
  <si>
    <t>Magnetic Resonance Imaging Scan, two - three areas, no contrast</t>
  </si>
  <si>
    <t>Computerised Tomography Scan, one area, no contrast</t>
  </si>
  <si>
    <t>Computerised Tomography Scan, two areas without contrast</t>
  </si>
  <si>
    <t>Computerised Tomography Scan, more than three areas</t>
  </si>
  <si>
    <t>Dexa Scan</t>
  </si>
  <si>
    <t>Ultrasound Scan less than 20 minutes</t>
  </si>
  <si>
    <t>Ultrasound Scan more than 20 minutes</t>
  </si>
  <si>
    <t>X-ray  Single view with report</t>
  </si>
  <si>
    <t>X-ray  Multiple view with report</t>
  </si>
  <si>
    <t>X-ray Spine or bone with report</t>
  </si>
  <si>
    <t>Skeletal survey, up to 7 views</t>
  </si>
  <si>
    <t>PET Scan</t>
  </si>
  <si>
    <t>PATHOLOGY COSTS</t>
  </si>
  <si>
    <t>IMMUNOLOGY</t>
  </si>
  <si>
    <t>MICROBIOLOGY</t>
  </si>
  <si>
    <t>BIOCHEMISTRY</t>
  </si>
  <si>
    <t>£2000  flexability agreement for research outside these parametors</t>
  </si>
  <si>
    <t>IN/OUT PATIENT</t>
  </si>
  <si>
    <t>Department out Patient Clinic</t>
  </si>
  <si>
    <t>Department in Patient</t>
  </si>
  <si>
    <t>CARDIOLOGY</t>
  </si>
  <si>
    <t>ECG</t>
  </si>
  <si>
    <t>PHARMACY</t>
  </si>
  <si>
    <t>per trial</t>
  </si>
  <si>
    <t>SCREENING COSTS AND RESEARCH SET UP/MAINTERNANCE COSTS</t>
  </si>
  <si>
    <t xml:space="preserve">Labour rates </t>
  </si>
  <si>
    <t>see above</t>
  </si>
  <si>
    <t xml:space="preserve">DIAGNOSTIC TESTS REQUIRED </t>
  </si>
  <si>
    <t>PATHOLOGY TESTS</t>
  </si>
  <si>
    <t>Biochemistry</t>
  </si>
  <si>
    <t>number of tests per patient</t>
  </si>
  <si>
    <t>cost per activity</t>
  </si>
  <si>
    <t>Please Select</t>
  </si>
  <si>
    <t>CLINIC TIME</t>
  </si>
  <si>
    <t>Outpatient</t>
  </si>
  <si>
    <t>Day Case</t>
  </si>
  <si>
    <t>number of visits per patient</t>
  </si>
  <si>
    <t>enter time in minutes for each patient</t>
  </si>
  <si>
    <t xml:space="preserve">PHARMACY COSTS </t>
  </si>
  <si>
    <t>Procedure required per patient</t>
  </si>
  <si>
    <t>Haematology</t>
  </si>
  <si>
    <t>Department (use drop down list)</t>
  </si>
  <si>
    <t>Process select from drop down list below :-</t>
  </si>
  <si>
    <t>Yes</t>
  </si>
  <si>
    <t>No</t>
  </si>
  <si>
    <t>ADDITIONAL NOTES :-</t>
  </si>
  <si>
    <t xml:space="preserve">Contrast </t>
  </si>
  <si>
    <t>Endoscopy</t>
  </si>
  <si>
    <t>Flexi sigmoidoscopy</t>
  </si>
  <si>
    <t>Magnetic Resonance Imaging Scan, More than three areas</t>
  </si>
  <si>
    <t>Pulmonary Function</t>
  </si>
  <si>
    <t>Rigid sigmoidoscopy</t>
  </si>
  <si>
    <t>Urodynamics</t>
  </si>
  <si>
    <t>Diagnostic Tests</t>
  </si>
  <si>
    <t>Pharmacy misc costs - storage/monitoring/record keeping</t>
  </si>
  <si>
    <t>Number of dispenses per patient</t>
  </si>
  <si>
    <t>Value</t>
  </si>
  <si>
    <t>per patient</t>
  </si>
  <si>
    <t>Set up/Closedown Fee</t>
  </si>
  <si>
    <t>Set up/Closedown fee</t>
  </si>
  <si>
    <t>Fixed trial related costs yes/no</t>
  </si>
  <si>
    <t>year 08/09</t>
  </si>
  <si>
    <t>year 09/10</t>
  </si>
  <si>
    <t>Dispensing fee  Aseptic</t>
  </si>
  <si>
    <t>Dispensing fee  Non Aseptic</t>
  </si>
  <si>
    <t>Nuclear Medicine - category 1</t>
  </si>
  <si>
    <t>Nuclear Medicine - category 3</t>
  </si>
  <si>
    <t>Nuclear Medicine - category 4</t>
  </si>
  <si>
    <t>Nuclear Medicine - category 5</t>
  </si>
  <si>
    <t>Nuclear Medicine - category 2 eg MUGA</t>
  </si>
  <si>
    <t>Chief Investigator</t>
  </si>
  <si>
    <t>yes medium</t>
  </si>
  <si>
    <t>yes high</t>
  </si>
  <si>
    <t>no</t>
  </si>
  <si>
    <t>Storage Space/Dispensing fixed costs - low requirement</t>
  </si>
  <si>
    <t>Storage Space/Dispensing fixed costs - medium requirement</t>
  </si>
  <si>
    <t>Storage Space/Dispensing fixed costs - high requirement</t>
  </si>
  <si>
    <t>yes low</t>
  </si>
  <si>
    <t>Gastroscopy</t>
  </si>
  <si>
    <t>Colonoscopy</t>
  </si>
  <si>
    <t>Other - Overwrite this cell with name of test</t>
  </si>
  <si>
    <t>DPT</t>
  </si>
  <si>
    <t>Echocardiogram</t>
  </si>
  <si>
    <t>Recruitment Period Date</t>
  </si>
  <si>
    <t>Cancer</t>
  </si>
  <si>
    <t>Trial Set up Fee</t>
  </si>
  <si>
    <t>SET UP COSTS</t>
  </si>
  <si>
    <t>Set up costs - low requirement</t>
  </si>
  <si>
    <t>Set up costs - medium requirement</t>
  </si>
  <si>
    <t>Set up costs - high requirement</t>
  </si>
  <si>
    <t>with holiday</t>
  </si>
  <si>
    <t>Informed consent</t>
  </si>
  <si>
    <t>Inclusion and exclusion criteria</t>
  </si>
  <si>
    <t>Medical history</t>
  </si>
  <si>
    <t>Physical examination/assessment</t>
  </si>
  <si>
    <t>Blood sampling (taking, packaging, sending)</t>
  </si>
  <si>
    <t>Randomisation</t>
  </si>
  <si>
    <t>Concomitant medication check</t>
  </si>
  <si>
    <t>CRF/data form completion</t>
  </si>
  <si>
    <t>Withdrawal criteria</t>
  </si>
  <si>
    <t>Patient questionnaires (distribution, collection)</t>
  </si>
  <si>
    <t>Diary (distribution, collection)</t>
  </si>
  <si>
    <t>Screening descriptions</t>
  </si>
  <si>
    <t>Recruit descriptions</t>
  </si>
  <si>
    <t>Arrange patient transport, queries, support</t>
  </si>
  <si>
    <t>Core Biopsy</t>
  </si>
  <si>
    <t>Mammography</t>
  </si>
  <si>
    <t>price per activity</t>
  </si>
  <si>
    <t>DATES</t>
  </si>
  <si>
    <t>prepared</t>
  </si>
  <si>
    <t>checked</t>
  </si>
  <si>
    <t>submitted</t>
  </si>
  <si>
    <t>approved</t>
  </si>
  <si>
    <t>Total</t>
  </si>
  <si>
    <t>Protocol Version</t>
  </si>
  <si>
    <t>Select funding stream</t>
  </si>
  <si>
    <t>Drug costs</t>
  </si>
  <si>
    <t>SSC cost per patient</t>
  </si>
  <si>
    <t>BREAKDOWN OF TESTS WITH COMBINED FUNDING STREAMS</t>
  </si>
  <si>
    <t>Funding Stream</t>
  </si>
  <si>
    <t>Service support</t>
  </si>
  <si>
    <t>Treatment</t>
  </si>
  <si>
    <t>Research</t>
  </si>
  <si>
    <t>Combination</t>
  </si>
  <si>
    <t>Staff costs</t>
  </si>
  <si>
    <t>Diagnostic tests</t>
  </si>
  <si>
    <t>Total patient cost</t>
  </si>
  <si>
    <t>Pharmacy costs</t>
  </si>
  <si>
    <t>Clinic costs</t>
  </si>
  <si>
    <t>Pharmacy Set up/ misc costs</t>
  </si>
  <si>
    <t>11/12 ref costs</t>
  </si>
  <si>
    <t>Simple ECG</t>
  </si>
  <si>
    <t>private</t>
  </si>
  <si>
    <t>comm</t>
  </si>
  <si>
    <t>Top band 6</t>
  </si>
  <si>
    <t>Top band 4</t>
  </si>
  <si>
    <t>year 12/13</t>
  </si>
  <si>
    <t>10 minutes</t>
  </si>
  <si>
    <t>treatment cost/saving</t>
  </si>
  <si>
    <t>HAEMATOLOGY</t>
  </si>
  <si>
    <t>ARSAC costs</t>
  </si>
  <si>
    <t>IRMER costs</t>
  </si>
  <si>
    <t>Excess treatment cost/saving</t>
  </si>
  <si>
    <t>Procedure :- Please type in</t>
  </si>
  <si>
    <t>SSC cost</t>
  </si>
  <si>
    <t>treatment</t>
  </si>
  <si>
    <t>STAFF RESOURCE FOR STUDY DELIVERY</t>
  </si>
  <si>
    <t>Part B</t>
  </si>
  <si>
    <t>Funding Stream Pharmacy</t>
  </si>
  <si>
    <t>SSC dispenses</t>
  </si>
  <si>
    <t>Excess treatment dispenses</t>
  </si>
  <si>
    <t>Research dispenses</t>
  </si>
  <si>
    <t>Part B dispenses</t>
  </si>
  <si>
    <t>RESEARCH FUNDS PROVIDED BY STUDY (enter total monies)</t>
  </si>
  <si>
    <t>Funder - please note the funder of the study.  Please ensure that all Part B costs are attributed. For  AMRC charities Part B are met through CRN/RCF allocations  (See  http://www.amrc.org.uk/our-members</t>
  </si>
  <si>
    <t xml:space="preserve">Enter Site specific research funds </t>
  </si>
  <si>
    <t>Study Title</t>
  </si>
  <si>
    <t>Recist reporting</t>
  </si>
  <si>
    <t>14/15</t>
  </si>
  <si>
    <t>lots so leave as is</t>
  </si>
  <si>
    <t>same</t>
  </si>
  <si>
    <t>HISTOPATHOLGY do low, medium,high</t>
  </si>
  <si>
    <t>CRN SOUTHWEST PRICE LIST</t>
  </si>
  <si>
    <t>HRA spreadsheet</t>
  </si>
  <si>
    <t>Screening cost not pp</t>
  </si>
  <si>
    <t>Research A</t>
  </si>
  <si>
    <t>Research part A Cost</t>
  </si>
  <si>
    <t>Research part B costs</t>
  </si>
  <si>
    <t>Placebo/Sham costs</t>
  </si>
  <si>
    <t>Research B</t>
  </si>
  <si>
    <t>Research part A cost</t>
  </si>
  <si>
    <t>Research part B cost</t>
  </si>
  <si>
    <t>Total one off costs</t>
  </si>
  <si>
    <t xml:space="preserve"> </t>
  </si>
  <si>
    <t>Recruitment target</t>
  </si>
  <si>
    <t>Cost Savings or Cost Avoidance</t>
  </si>
  <si>
    <t>Cost saving per patient</t>
  </si>
  <si>
    <t>year 19/20</t>
  </si>
  <si>
    <t>19/20</t>
  </si>
  <si>
    <t>Total cost savings</t>
  </si>
  <si>
    <t>Total costs</t>
  </si>
  <si>
    <t>Inpatient per day</t>
  </si>
  <si>
    <t>CRN:  South West Peninsula COST ATTRIBUTION TEMPLATE V1.6</t>
  </si>
  <si>
    <t>£30 for room use plus 10 minutes consultant plus 10 minutes nurse</t>
  </si>
  <si>
    <t>Genomic/ctDNA Research bloods</t>
  </si>
  <si>
    <t>Investigations: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</si>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</sst>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_ ;\-#,##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sz val="10"/>
      <name val="Verdana"/>
      <family val="2"/>
    </font>
    <font>
      <sz val="10"/>
      <color indexed="4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/>
      <bottom style="medium">
        <color indexed="48"/>
      </bottom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/>
    <xf numFmtId="7" fontId="2" fillId="0" borderId="7" xfId="0" applyNumberFormat="1" applyFont="1" applyBorder="1" applyAlignment="1">
      <alignment horizontal="right"/>
    </xf>
    <xf numFmtId="0" fontId="4" fillId="0" borderId="3" xfId="0" applyFont="1" applyBorder="1"/>
    <xf numFmtId="0" fontId="9" fillId="0" borderId="3" xfId="0" applyFont="1" applyBorder="1"/>
    <xf numFmtId="0" fontId="9" fillId="0" borderId="4" xfId="0" applyFont="1" applyBorder="1"/>
    <xf numFmtId="7" fontId="2" fillId="0" borderId="6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0" fontId="9" fillId="0" borderId="1" xfId="0" applyFont="1" applyFill="1" applyBorder="1" applyAlignment="1">
      <alignment wrapText="1"/>
    </xf>
    <xf numFmtId="7" fontId="10" fillId="0" borderId="2" xfId="0" applyNumberFormat="1" applyFont="1" applyBorder="1" applyAlignment="1">
      <alignment horizontal="right"/>
    </xf>
    <xf numFmtId="0" fontId="9" fillId="0" borderId="3" xfId="0" applyFont="1" applyFill="1" applyBorder="1" applyAlignment="1"/>
    <xf numFmtId="0" fontId="9" fillId="0" borderId="3" xfId="0" applyFont="1" applyFill="1" applyBorder="1" applyAlignment="1">
      <alignment wrapText="1"/>
    </xf>
    <xf numFmtId="0" fontId="11" fillId="0" borderId="1" xfId="0" applyFont="1" applyBorder="1"/>
    <xf numFmtId="0" fontId="11" fillId="0" borderId="3" xfId="0" applyFont="1" applyBorder="1"/>
    <xf numFmtId="7" fontId="2" fillId="0" borderId="4" xfId="0" applyNumberFormat="1" applyFont="1" applyBorder="1" applyAlignment="1">
      <alignment horizontal="left"/>
    </xf>
    <xf numFmtId="7" fontId="2" fillId="0" borderId="0" xfId="0" applyNumberFormat="1" applyFont="1" applyBorder="1" applyAlignment="1">
      <alignment horizontal="left"/>
    </xf>
    <xf numFmtId="7" fontId="2" fillId="0" borderId="2" xfId="0" applyNumberFormat="1" applyFont="1" applyBorder="1" applyAlignment="1">
      <alignment horizontal="right"/>
    </xf>
    <xf numFmtId="0" fontId="0" fillId="0" borderId="8" xfId="0" applyBorder="1"/>
    <xf numFmtId="7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0" fillId="2" borderId="13" xfId="0" applyFill="1" applyBorder="1" applyAlignment="1">
      <alignment horizontal="center" wrapText="1"/>
    </xf>
    <xf numFmtId="0" fontId="0" fillId="2" borderId="8" xfId="0" applyFill="1" applyBorder="1"/>
    <xf numFmtId="7" fontId="0" fillId="3" borderId="11" xfId="0" applyNumberFormat="1" applyFill="1" applyBorder="1"/>
    <xf numFmtId="7" fontId="0" fillId="3" borderId="13" xfId="0" applyNumberFormat="1" applyFill="1" applyBorder="1"/>
    <xf numFmtId="7" fontId="0" fillId="3" borderId="12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 shrinkToFit="1"/>
    </xf>
    <xf numFmtId="0" fontId="0" fillId="2" borderId="14" xfId="0" applyFill="1" applyBorder="1" applyAlignment="1">
      <alignment wrapText="1"/>
    </xf>
    <xf numFmtId="0" fontId="12" fillId="0" borderId="3" xfId="0" applyFont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18" xfId="0" applyBorder="1"/>
    <xf numFmtId="0" fontId="9" fillId="0" borderId="4" xfId="0" applyFont="1" applyFill="1" applyBorder="1" applyAlignment="1">
      <alignment wrapText="1"/>
    </xf>
    <xf numFmtId="0" fontId="0" fillId="0" borderId="11" xfId="0" applyFill="1" applyBorder="1"/>
    <xf numFmtId="16" fontId="0" fillId="0" borderId="0" xfId="0" applyNumberFormat="1"/>
    <xf numFmtId="7" fontId="0" fillId="0" borderId="0" xfId="0" applyNumberFormat="1"/>
    <xf numFmtId="0" fontId="12" fillId="0" borderId="11" xfId="0" applyFont="1" applyBorder="1"/>
    <xf numFmtId="0" fontId="12" fillId="0" borderId="6" xfId="0" applyFont="1" applyBorder="1"/>
    <xf numFmtId="7" fontId="0" fillId="0" borderId="12" xfId="0" applyNumberFormat="1" applyFill="1" applyBorder="1"/>
    <xf numFmtId="0" fontId="2" fillId="0" borderId="3" xfId="0" applyNumberFormat="1" applyFont="1" applyBorder="1"/>
    <xf numFmtId="0" fontId="13" fillId="0" borderId="0" xfId="0" applyFont="1"/>
    <xf numFmtId="7" fontId="2" fillId="0" borderId="0" xfId="0" applyNumberFormat="1" applyFont="1" applyBorder="1" applyAlignment="1">
      <alignment horizontal="right"/>
    </xf>
    <xf numFmtId="0" fontId="0" fillId="0" borderId="13" xfId="0" applyBorder="1"/>
    <xf numFmtId="0" fontId="4" fillId="2" borderId="1" xfId="0" applyFont="1" applyFill="1" applyBorder="1"/>
    <xf numFmtId="0" fontId="4" fillId="2" borderId="14" xfId="0" applyFont="1" applyFill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0" fontId="4" fillId="0" borderId="0" xfId="0" applyFont="1"/>
    <xf numFmtId="7" fontId="15" fillId="3" borderId="11" xfId="0" applyNumberFormat="1" applyFont="1" applyFill="1" applyBorder="1"/>
    <xf numFmtId="7" fontId="15" fillId="3" borderId="12" xfId="0" applyNumberFormat="1" applyFont="1" applyFill="1" applyBorder="1"/>
    <xf numFmtId="15" fontId="0" fillId="0" borderId="7" xfId="0" applyNumberFormat="1" applyBorder="1"/>
    <xf numFmtId="15" fontId="0" fillId="0" borderId="6" xfId="0" applyNumberFormat="1" applyBorder="1"/>
    <xf numFmtId="0" fontId="0" fillId="0" borderId="6" xfId="0" applyFill="1" applyBorder="1"/>
    <xf numFmtId="16" fontId="0" fillId="0" borderId="2" xfId="0" applyNumberFormat="1" applyBorder="1"/>
    <xf numFmtId="7" fontId="4" fillId="0" borderId="0" xfId="0" applyNumberFormat="1" applyFont="1" applyFill="1" applyBorder="1"/>
    <xf numFmtId="7" fontId="4" fillId="3" borderId="11" xfId="0" applyNumberFormat="1" applyFont="1" applyFill="1" applyBorder="1"/>
    <xf numFmtId="0" fontId="0" fillId="0" borderId="19" xfId="0" applyBorder="1"/>
    <xf numFmtId="0" fontId="0" fillId="3" borderId="11" xfId="0" applyFill="1" applyBorder="1"/>
    <xf numFmtId="0" fontId="0" fillId="3" borderId="12" xfId="0" applyFill="1" applyBorder="1"/>
    <xf numFmtId="0" fontId="4" fillId="0" borderId="1" xfId="0" applyFont="1" applyBorder="1" applyAlignment="1">
      <alignment wrapText="1"/>
    </xf>
    <xf numFmtId="7" fontId="10" fillId="0" borderId="7" xfId="0" applyNumberFormat="1" applyFont="1" applyFill="1" applyBorder="1" applyAlignment="1">
      <alignment horizontal="right"/>
    </xf>
    <xf numFmtId="0" fontId="0" fillId="3" borderId="13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2" xfId="0" applyFill="1" applyBorder="1"/>
    <xf numFmtId="7" fontId="4" fillId="3" borderId="12" xfId="0" applyNumberFormat="1" applyFont="1" applyFill="1" applyBorder="1"/>
    <xf numFmtId="0" fontId="0" fillId="2" borderId="9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7" fontId="4" fillId="3" borderId="13" xfId="0" applyNumberFormat="1" applyFont="1" applyFill="1" applyBorder="1"/>
    <xf numFmtId="0" fontId="0" fillId="0" borderId="13" xfId="0" applyFill="1" applyBorder="1"/>
    <xf numFmtId="0" fontId="0" fillId="0" borderId="20" xfId="0" applyBorder="1"/>
    <xf numFmtId="7" fontId="10" fillId="0" borderId="2" xfId="0" applyNumberFormat="1" applyFont="1" applyFill="1" applyBorder="1" applyAlignment="1">
      <alignment horizontal="right"/>
    </xf>
    <xf numFmtId="7" fontId="2" fillId="0" borderId="7" xfId="0" applyNumberFormat="1" applyFont="1" applyFill="1" applyBorder="1" applyAlignment="1">
      <alignment horizontal="right"/>
    </xf>
    <xf numFmtId="7" fontId="10" fillId="0" borderId="6" xfId="0" applyNumberFormat="1" applyFont="1" applyFill="1" applyBorder="1" applyAlignment="1">
      <alignment horizontal="right"/>
    </xf>
    <xf numFmtId="0" fontId="0" fillId="0" borderId="0" xfId="0" applyFill="1"/>
    <xf numFmtId="13" fontId="2" fillId="0" borderId="0" xfId="0" applyNumberFormat="1" applyFont="1" applyAlignment="1">
      <alignment horizontal="left"/>
    </xf>
    <xf numFmtId="0" fontId="9" fillId="5" borderId="3" xfId="0" applyFont="1" applyFill="1" applyBorder="1" applyAlignment="1">
      <alignment wrapText="1"/>
    </xf>
    <xf numFmtId="8" fontId="0" fillId="0" borderId="0" xfId="0" applyNumberFormat="1"/>
    <xf numFmtId="7" fontId="4" fillId="3" borderId="5" xfId="0" applyNumberFormat="1" applyFont="1" applyFill="1" applyBorder="1"/>
    <xf numFmtId="0" fontId="0" fillId="0" borderId="18" xfId="0" applyFill="1" applyBorder="1"/>
    <xf numFmtId="0" fontId="0" fillId="2" borderId="8" xfId="0" applyFill="1" applyBorder="1" applyAlignment="1">
      <alignment horizontal="center" wrapText="1"/>
    </xf>
    <xf numFmtId="0" fontId="4" fillId="0" borderId="10" xfId="0" applyFont="1" applyFill="1" applyBorder="1"/>
    <xf numFmtId="0" fontId="4" fillId="0" borderId="0" xfId="0" applyFont="1" applyAlignment="1">
      <alignment wrapText="1"/>
    </xf>
    <xf numFmtId="0" fontId="9" fillId="0" borderId="3" xfId="0" applyFont="1" applyFill="1" applyBorder="1"/>
    <xf numFmtId="0" fontId="9" fillId="0" borderId="5" xfId="0" applyFont="1" applyBorder="1"/>
    <xf numFmtId="0" fontId="9" fillId="0" borderId="0" xfId="0" applyFont="1" applyBorder="1"/>
    <xf numFmtId="7" fontId="4" fillId="0" borderId="4" xfId="0" applyNumberFormat="1" applyFont="1" applyFill="1" applyBorder="1"/>
    <xf numFmtId="0" fontId="4" fillId="0" borderId="23" xfId="0" applyFont="1" applyFill="1" applyBorder="1" applyAlignment="1">
      <alignment horizontal="left" wrapText="1"/>
    </xf>
    <xf numFmtId="0" fontId="0" fillId="0" borderId="2" xfId="0" applyFill="1" applyBorder="1"/>
    <xf numFmtId="7" fontId="4" fillId="0" borderId="7" xfId="0" applyNumberFormat="1" applyFont="1" applyFill="1" applyBorder="1"/>
    <xf numFmtId="0" fontId="0" fillId="0" borderId="7" xfId="0" applyBorder="1"/>
    <xf numFmtId="7" fontId="4" fillId="3" borderId="6" xfId="0" applyNumberFormat="1" applyFont="1" applyFill="1" applyBorder="1"/>
    <xf numFmtId="0" fontId="9" fillId="2" borderId="14" xfId="0" applyFont="1" applyFill="1" applyBorder="1" applyAlignment="1">
      <alignment horizontal="center" wrapText="1"/>
    </xf>
    <xf numFmtId="7" fontId="4" fillId="3" borderId="3" xfId="0" applyNumberFormat="1" applyFont="1" applyFill="1" applyBorder="1"/>
    <xf numFmtId="0" fontId="0" fillId="0" borderId="27" xfId="0" applyFill="1" applyBorder="1"/>
    <xf numFmtId="0" fontId="0" fillId="0" borderId="21" xfId="0" applyBorder="1"/>
    <xf numFmtId="0" fontId="4" fillId="0" borderId="21" xfId="0" applyFont="1" applyFill="1" applyBorder="1"/>
    <xf numFmtId="7" fontId="0" fillId="3" borderId="0" xfId="0" applyNumberFormat="1" applyFill="1" applyBorder="1"/>
    <xf numFmtId="7" fontId="0" fillId="3" borderId="28" xfId="0" applyNumberFormat="1" applyFill="1" applyBorder="1"/>
    <xf numFmtId="7" fontId="0" fillId="3" borderId="29" xfId="0" applyNumberFormat="1" applyFill="1" applyBorder="1"/>
    <xf numFmtId="7" fontId="0" fillId="3" borderId="30" xfId="0" applyNumberFormat="1" applyFill="1" applyBorder="1"/>
    <xf numFmtId="7" fontId="0" fillId="3" borderId="31" xfId="0" applyNumberFormat="1" applyFill="1" applyBorder="1"/>
    <xf numFmtId="7" fontId="0" fillId="3" borderId="32" xfId="0" applyNumberFormat="1" applyFill="1" applyBorder="1"/>
    <xf numFmtId="164" fontId="0" fillId="3" borderId="33" xfId="0" applyNumberFormat="1" applyFill="1" applyBorder="1"/>
    <xf numFmtId="164" fontId="0" fillId="3" borderId="34" xfId="0" applyNumberFormat="1" applyFill="1" applyBorder="1"/>
    <xf numFmtId="164" fontId="0" fillId="3" borderId="35" xfId="0" applyNumberFormat="1" applyFill="1" applyBorder="1"/>
    <xf numFmtId="0" fontId="9" fillId="2" borderId="9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ill="1" applyBorder="1"/>
    <xf numFmtId="7" fontId="0" fillId="3" borderId="14" xfId="0" applyNumberFormat="1" applyFill="1" applyBorder="1"/>
    <xf numFmtId="0" fontId="0" fillId="0" borderId="0" xfId="0" applyFont="1" applyFill="1" applyBorder="1"/>
    <xf numFmtId="2" fontId="0" fillId="0" borderId="0" xfId="0" applyNumberFormat="1"/>
    <xf numFmtId="0" fontId="4" fillId="6" borderId="27" xfId="0" applyFont="1" applyFill="1" applyBorder="1"/>
    <xf numFmtId="0" fontId="2" fillId="0" borderId="0" xfId="0" applyFont="1"/>
    <xf numFmtId="16" fontId="0" fillId="0" borderId="0" xfId="0" quotePrefix="1" applyNumberFormat="1"/>
    <xf numFmtId="7" fontId="2" fillId="3" borderId="11" xfId="0" applyNumberFormat="1" applyFont="1" applyFill="1" applyBorder="1"/>
    <xf numFmtId="0" fontId="2" fillId="0" borderId="3" xfId="0" applyFont="1" applyFill="1" applyBorder="1"/>
    <xf numFmtId="0" fontId="0" fillId="0" borderId="1" xfId="0" applyFill="1" applyBorder="1"/>
    <xf numFmtId="0" fontId="17" fillId="0" borderId="11" xfId="1" applyFont="1" applyFill="1" applyBorder="1" applyAlignment="1" applyProtection="1">
      <alignment wrapText="1"/>
      <protection locked="0"/>
    </xf>
    <xf numFmtId="0" fontId="2" fillId="0" borderId="0" xfId="0" applyFont="1" applyFill="1" applyBorder="1"/>
    <xf numFmtId="0" fontId="2" fillId="0" borderId="5" xfId="0" applyFont="1" applyBorder="1"/>
    <xf numFmtId="7" fontId="0" fillId="0" borderId="11" xfId="0" applyNumberFormat="1" applyFill="1" applyBorder="1"/>
    <xf numFmtId="7" fontId="0" fillId="0" borderId="13" xfId="0" applyNumberFormat="1" applyFill="1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Currency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Percent 2" xfId="5" xr:uid="{00000000-0005-0000-0000-000005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CCFFFF"/>
      <color rgb="FF00B0EE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3</xdr:row>
      <xdr:rowOff>9525</xdr:rowOff>
    </xdr:from>
    <xdr:to>
      <xdr:col>0</xdr:col>
      <xdr:colOff>2933700</xdr:colOff>
      <xdr:row>7</xdr:row>
      <xdr:rowOff>95250</xdr:rowOff>
    </xdr:to>
    <xdr:pic>
      <xdr:nvPicPr>
        <xdr:cNvPr id="1249" name="Picture 187" descr="SW Network 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95300"/>
          <a:ext cx="2085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3</xdr:row>
      <xdr:rowOff>9525</xdr:rowOff>
    </xdr:from>
    <xdr:to>
      <xdr:col>0</xdr:col>
      <xdr:colOff>2933700</xdr:colOff>
      <xdr:row>8</xdr:row>
      <xdr:rowOff>95250</xdr:rowOff>
    </xdr:to>
    <xdr:pic>
      <xdr:nvPicPr>
        <xdr:cNvPr id="2" name="Picture 187" descr="SW Network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95300"/>
          <a:ext cx="2085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1"/>
  <sheetViews>
    <sheetView showZeros="0" tabSelected="1" workbookViewId="0">
      <selection activeCell="H9" sqref="H9"/>
    </sheetView>
  </sheetViews>
  <sheetFormatPr defaultRowHeight="12.75" x14ac:dyDescent="0.2"/>
  <cols>
    <col min="1" max="1" width="55.140625" customWidth="1"/>
    <col min="2" max="4" width="11.42578125" customWidth="1"/>
    <col min="5" max="5" width="18.42578125" customWidth="1"/>
    <col min="6" max="6" width="19.42578125" customWidth="1"/>
    <col min="7" max="7" width="11" customWidth="1"/>
    <col min="8" max="8" width="10" customWidth="1"/>
    <col min="9" max="9" width="11.28515625" customWidth="1"/>
    <col min="10" max="10" width="11.85546875" customWidth="1"/>
    <col min="11" max="11" width="15.85546875" customWidth="1"/>
    <col min="12" max="12" width="10.42578125" customWidth="1"/>
  </cols>
  <sheetData>
    <row r="1" spans="1:11" x14ac:dyDescent="0.2">
      <c r="G1" s="5" t="s">
        <v>174</v>
      </c>
      <c r="H1" s="75"/>
    </row>
    <row r="2" spans="1:11" x14ac:dyDescent="0.2">
      <c r="G2" s="7" t="s">
        <v>175</v>
      </c>
      <c r="H2" s="72"/>
    </row>
    <row r="3" spans="1:11" x14ac:dyDescent="0.2">
      <c r="G3" s="7" t="s">
        <v>176</v>
      </c>
      <c r="H3" s="72"/>
    </row>
    <row r="4" spans="1:11" x14ac:dyDescent="0.2">
      <c r="G4" s="7" t="s">
        <v>177</v>
      </c>
      <c r="H4" s="72"/>
    </row>
    <row r="5" spans="1:11" x14ac:dyDescent="0.2">
      <c r="G5" s="8" t="s">
        <v>178</v>
      </c>
      <c r="H5" s="73"/>
    </row>
    <row r="6" spans="1:11" ht="26.25" x14ac:dyDescent="0.4">
      <c r="B6" s="62" t="s">
        <v>248</v>
      </c>
    </row>
    <row r="7" spans="1:11" ht="38.25" x14ac:dyDescent="0.2">
      <c r="E7" s="1"/>
      <c r="F7" s="89"/>
      <c r="G7" s="88" t="s">
        <v>183</v>
      </c>
      <c r="H7" s="46" t="s">
        <v>204</v>
      </c>
      <c r="I7" s="46" t="s">
        <v>232</v>
      </c>
      <c r="J7" s="46" t="s">
        <v>233</v>
      </c>
      <c r="K7" s="46" t="s">
        <v>192</v>
      </c>
    </row>
    <row r="8" spans="1:11" x14ac:dyDescent="0.2">
      <c r="F8" s="35" t="s">
        <v>190</v>
      </c>
      <c r="G8" s="41">
        <f>SUM(G25:G42)</f>
        <v>0</v>
      </c>
      <c r="H8" s="41">
        <f>SUM(H25:H42)</f>
        <v>0</v>
      </c>
      <c r="I8" s="41">
        <f>SUM(I25:I38)</f>
        <v>0</v>
      </c>
      <c r="J8" s="41">
        <f>SUM(J25:J42)</f>
        <v>0</v>
      </c>
      <c r="K8" s="90">
        <f>SUM(G8:J8)</f>
        <v>0</v>
      </c>
    </row>
    <row r="9" spans="1:11" x14ac:dyDescent="0.2">
      <c r="F9" s="35" t="s">
        <v>252</v>
      </c>
      <c r="G9" s="40">
        <f t="shared" ref="G9:H9" si="0">SUM(G39:G42)</f>
        <v>0</v>
      </c>
      <c r="H9" s="40">
        <f t="shared" si="0"/>
        <v>0</v>
      </c>
      <c r="I9" s="40">
        <f>SUM(I39:I42)</f>
        <v>0</v>
      </c>
      <c r="J9" s="40">
        <f t="shared" ref="J9:K9" si="1">SUM(J39:J42)</f>
        <v>0</v>
      </c>
      <c r="K9" s="40">
        <f t="shared" si="1"/>
        <v>0</v>
      </c>
    </row>
    <row r="10" spans="1:11" ht="13.5" thickBot="1" x14ac:dyDescent="0.25">
      <c r="D10" s="92"/>
      <c r="E10" s="1"/>
      <c r="F10" s="35" t="s">
        <v>191</v>
      </c>
      <c r="G10" s="40">
        <f>SUM(G48:G59)+SUM(G62:G70)</f>
        <v>0</v>
      </c>
      <c r="H10" s="40">
        <f>SUM(H48:H59)+SUM(H62:H70)</f>
        <v>0</v>
      </c>
      <c r="I10" s="40">
        <f>SUM(I48:I59)+SUM(I62:I70)</f>
        <v>0</v>
      </c>
      <c r="J10" s="40">
        <f>SUM(J48:J59)+SUM(J62:J70)</f>
        <v>0</v>
      </c>
      <c r="K10" s="77">
        <f>SUM(G10:J10)</f>
        <v>0</v>
      </c>
    </row>
    <row r="11" spans="1:11" x14ac:dyDescent="0.2">
      <c r="A11" s="78" t="s">
        <v>180</v>
      </c>
      <c r="B11" s="149"/>
      <c r="C11" s="150"/>
      <c r="D11" s="151"/>
      <c r="E11" s="7"/>
      <c r="F11" s="35" t="s">
        <v>193</v>
      </c>
      <c r="G11" s="40">
        <f>SUM(G74:G75)+SUM(G82:G83)</f>
        <v>0</v>
      </c>
      <c r="H11" s="40">
        <f>SUM(H74:H75)+SUM(H82:H83)+H77</f>
        <v>0</v>
      </c>
      <c r="I11" s="40">
        <f>SUM(I74:I75)+SUM(I82:I83)+I76</f>
        <v>0</v>
      </c>
      <c r="J11" s="40">
        <f>SUM(J74:J75)+SUM(J82:J83)</f>
        <v>0</v>
      </c>
      <c r="K11" s="77">
        <f>SUM(G11:J11)</f>
        <v>0</v>
      </c>
    </row>
    <row r="12" spans="1:11" x14ac:dyDescent="0.2">
      <c r="A12" s="34" t="s">
        <v>0</v>
      </c>
      <c r="B12" s="145"/>
      <c r="C12" s="146"/>
      <c r="D12" s="147"/>
      <c r="E12" s="7"/>
      <c r="F12" s="55" t="s">
        <v>194</v>
      </c>
      <c r="G12" s="40">
        <f>SUM(G86:G88)+SUM(F91:F93)</f>
        <v>0</v>
      </c>
      <c r="H12" s="40">
        <f>SUM(H86:H88)+SUM(G91:G93)</f>
        <v>0</v>
      </c>
      <c r="I12" s="40">
        <f>SUM(I86:I88)+SUM(H91:H93)</f>
        <v>0</v>
      </c>
      <c r="J12" s="40"/>
      <c r="K12" s="77">
        <f>SUM(G12:J12)</f>
        <v>0</v>
      </c>
    </row>
    <row r="13" spans="1:11" ht="25.5" customHeight="1" x14ac:dyDescent="0.2">
      <c r="A13" s="104" t="s">
        <v>220</v>
      </c>
      <c r="B13" s="152"/>
      <c r="C13" s="153"/>
      <c r="D13" s="154"/>
      <c r="E13" s="7"/>
      <c r="F13" s="86" t="s">
        <v>179</v>
      </c>
      <c r="G13" s="42">
        <f>SUM(G8:G12)</f>
        <v>0</v>
      </c>
      <c r="H13" s="42">
        <f>SUM(H8:H12)</f>
        <v>0</v>
      </c>
      <c r="I13" s="42">
        <f>SUM(I8:I12)</f>
        <v>0</v>
      </c>
      <c r="J13" s="42">
        <f>SUM(J8:J12)</f>
        <v>0</v>
      </c>
      <c r="K13" s="87">
        <f>SUM(G13:J13)</f>
        <v>0</v>
      </c>
    </row>
    <row r="14" spans="1:11" x14ac:dyDescent="0.2">
      <c r="A14" s="34" t="s">
        <v>222</v>
      </c>
      <c r="B14" s="145"/>
      <c r="C14" s="146"/>
      <c r="D14" s="147"/>
      <c r="F14" s="53"/>
      <c r="G14" s="1"/>
      <c r="H14" s="1"/>
      <c r="I14" s="76"/>
      <c r="J14" s="132" t="s">
        <v>246</v>
      </c>
      <c r="K14" s="131">
        <f>K13*B21+SUM(G16:J20)</f>
        <v>0</v>
      </c>
    </row>
    <row r="15" spans="1:11" x14ac:dyDescent="0.2">
      <c r="A15" s="34" t="s">
        <v>136</v>
      </c>
      <c r="B15" s="145"/>
      <c r="C15" s="146"/>
      <c r="D15" s="147"/>
      <c r="G15" s="88" t="s">
        <v>210</v>
      </c>
      <c r="H15" s="46" t="s">
        <v>211</v>
      </c>
      <c r="I15" s="102" t="s">
        <v>231</v>
      </c>
      <c r="J15" s="46" t="s">
        <v>235</v>
      </c>
    </row>
    <row r="16" spans="1:11" x14ac:dyDescent="0.2">
      <c r="A16" s="34" t="s">
        <v>1</v>
      </c>
      <c r="B16" s="145"/>
      <c r="C16" s="146"/>
      <c r="D16" s="147"/>
      <c r="F16" s="5" t="s">
        <v>206</v>
      </c>
      <c r="G16" s="5"/>
      <c r="H16" s="53"/>
      <c r="I16" s="101"/>
      <c r="J16" s="110"/>
    </row>
    <row r="17" spans="1:14" x14ac:dyDescent="0.2">
      <c r="A17" s="34" t="s">
        <v>2</v>
      </c>
      <c r="B17" s="145"/>
      <c r="C17" s="146"/>
      <c r="D17" s="147"/>
      <c r="F17" s="7" t="s">
        <v>207</v>
      </c>
      <c r="G17" s="7"/>
      <c r="H17" s="1"/>
      <c r="I17" s="76"/>
      <c r="J17" s="111"/>
    </row>
    <row r="18" spans="1:14" x14ac:dyDescent="0.2">
      <c r="A18" s="34" t="s">
        <v>149</v>
      </c>
      <c r="B18" s="145"/>
      <c r="C18" s="146"/>
      <c r="D18" s="147"/>
      <c r="F18" s="7" t="s">
        <v>151</v>
      </c>
      <c r="G18" s="7"/>
      <c r="H18" s="1"/>
      <c r="I18" s="1"/>
      <c r="J18" s="112"/>
      <c r="N18" s="136"/>
    </row>
    <row r="19" spans="1:14" x14ac:dyDescent="0.2">
      <c r="A19" s="103" t="s">
        <v>219</v>
      </c>
      <c r="B19" s="145"/>
      <c r="C19" s="146"/>
      <c r="D19" s="147"/>
      <c r="F19" s="85" t="s">
        <v>230</v>
      </c>
      <c r="G19" s="108">
        <f>G78+G79</f>
        <v>0</v>
      </c>
      <c r="H19" s="50"/>
      <c r="I19" s="50"/>
      <c r="J19" s="50"/>
    </row>
    <row r="20" spans="1:14" ht="12.75" customHeight="1" thickBot="1" x14ac:dyDescent="0.25">
      <c r="A20" s="103" t="s">
        <v>221</v>
      </c>
      <c r="B20" s="155"/>
      <c r="C20" s="156"/>
      <c r="D20" s="157"/>
      <c r="F20" s="7" t="s">
        <v>195</v>
      </c>
      <c r="G20" s="115">
        <f>G79+G80</f>
        <v>0</v>
      </c>
      <c r="H20" s="100">
        <f>H79+H80</f>
        <v>0</v>
      </c>
      <c r="I20" s="100"/>
      <c r="J20" s="113"/>
    </row>
    <row r="21" spans="1:14" ht="13.5" thickBot="1" x14ac:dyDescent="0.25">
      <c r="A21" s="109" t="s">
        <v>240</v>
      </c>
      <c r="B21" s="158"/>
      <c r="C21" s="159"/>
      <c r="D21" s="160"/>
      <c r="F21" s="116" t="s">
        <v>238</v>
      </c>
      <c r="G21" s="134">
        <f>SUM(G16:J20)</f>
        <v>0</v>
      </c>
    </row>
    <row r="23" spans="1:14" ht="38.25" x14ac:dyDescent="0.2">
      <c r="A23" s="65" t="s">
        <v>212</v>
      </c>
      <c r="B23" s="38" t="s">
        <v>5</v>
      </c>
      <c r="C23" s="38" t="s">
        <v>3</v>
      </c>
      <c r="D23" s="38" t="s">
        <v>4</v>
      </c>
      <c r="E23" s="46" t="s">
        <v>181</v>
      </c>
      <c r="F23" s="38" t="s">
        <v>107</v>
      </c>
      <c r="G23" s="46" t="s">
        <v>183</v>
      </c>
      <c r="H23" s="46" t="s">
        <v>204</v>
      </c>
      <c r="I23" s="46" t="str">
        <f>I7</f>
        <v>Research part A Cost</v>
      </c>
      <c r="J23" s="46" t="str">
        <f>J7</f>
        <v>Research part B costs</v>
      </c>
    </row>
    <row r="24" spans="1:14" x14ac:dyDescent="0.2">
      <c r="A24" s="39" t="s">
        <v>209</v>
      </c>
      <c r="B24" s="148" t="s">
        <v>103</v>
      </c>
      <c r="C24" s="148"/>
      <c r="D24" s="148"/>
      <c r="E24" s="45"/>
      <c r="F24" s="45"/>
      <c r="G24" s="45"/>
      <c r="H24" s="45"/>
      <c r="I24" s="45"/>
      <c r="J24" s="45"/>
    </row>
    <row r="25" spans="1:14" x14ac:dyDescent="0.2">
      <c r="A25" s="105"/>
      <c r="B25" s="55"/>
      <c r="C25" s="55"/>
      <c r="D25" s="55"/>
      <c r="E25" s="55"/>
      <c r="F25" s="55"/>
      <c r="G25" s="41">
        <f>IF($E25="service support",$B25/60*Pricelist!$C$13+$C25/60*Pricelist!$C$14+$D25/60*Pricelist!$C$15,0)</f>
        <v>0</v>
      </c>
      <c r="H25" s="41">
        <f>IF($E25="Treatment",$B25/60*Pricelist!$C$13+$C25/60*Pricelist!$C$14+$D25/60*Pricelist!$C$15,0)</f>
        <v>0</v>
      </c>
      <c r="I25" s="41">
        <f>IF($E25="Research",$B25/60*Pricelist!$C$13+$C25/60*Pricelist!$C$14+$D25/60*Pricelist!$C$15,0)</f>
        <v>0</v>
      </c>
      <c r="J25" s="41">
        <f>IF($E25="Part B",$B25/60*Pricelist!$C$13+$C25/60*Pricelist!$C$14+$D25/60*Pricelist!$C$15,0)</f>
        <v>0</v>
      </c>
    </row>
    <row r="26" spans="1:14" x14ac:dyDescent="0.2">
      <c r="A26" s="105"/>
      <c r="B26" s="55"/>
      <c r="C26" s="55"/>
      <c r="D26" s="55"/>
      <c r="E26" s="55"/>
      <c r="F26" s="55"/>
      <c r="G26" s="40">
        <f>IF($E26="service support",$B26/60*Pricelist!$C$13+$C26/60*Pricelist!$C$14+$D26/60*Pricelist!$C$15,0)</f>
        <v>0</v>
      </c>
      <c r="H26" s="40">
        <f>IF($E26="Treatment",$B26/60*Pricelist!$C$13+$C26/60*Pricelist!$C$14+$D26/60*Pricelist!$C$15,0)</f>
        <v>0</v>
      </c>
      <c r="I26" s="40">
        <f>IF($E26="Research",$B26/60*Pricelist!$C$13+$C26/60*Pricelist!$C$14+$D26/60*Pricelist!$C$15,0)</f>
        <v>0</v>
      </c>
      <c r="J26" s="40">
        <f>IF($E26="Part B",$B26/60*Pricelist!$C$13+$C26/60*Pricelist!$C$14+$D26/60*Pricelist!$C$15,0)</f>
        <v>0</v>
      </c>
    </row>
    <row r="27" spans="1:14" x14ac:dyDescent="0.2">
      <c r="A27" s="105"/>
      <c r="B27" s="55"/>
      <c r="C27" s="55"/>
      <c r="D27" s="55"/>
      <c r="E27" s="55"/>
      <c r="F27" s="55"/>
      <c r="G27" s="40">
        <f>IF($E27="service support",$B27/60*Pricelist!$C$13+$C27/60*Pricelist!$C$14+$D27/60*Pricelist!$C$15,0)</f>
        <v>0</v>
      </c>
      <c r="H27" s="40">
        <f>IF($E27="Treatment",$B27/60*Pricelist!$C$13+$C27/60*Pricelist!$C$14+$D27/60*Pricelist!$C$15,0)</f>
        <v>0</v>
      </c>
      <c r="I27" s="40">
        <f>IF($E27="Research",$B27/60*Pricelist!$C$13+$C27/60*Pricelist!$C$14+$D27/60*Pricelist!$C$15,0)</f>
        <v>0</v>
      </c>
      <c r="J27" s="40">
        <f>IF($E27="Part B",$B27/60*Pricelist!$C$13+$C27/60*Pricelist!$C$14+$D27/60*Pricelist!$C$15,0)</f>
        <v>0</v>
      </c>
    </row>
    <row r="28" spans="1:14" x14ac:dyDescent="0.2">
      <c r="A28" s="105"/>
      <c r="B28" s="55"/>
      <c r="C28" s="55"/>
      <c r="D28" s="55"/>
      <c r="E28" s="55"/>
      <c r="F28" s="55"/>
      <c r="G28" s="40"/>
      <c r="H28" s="40"/>
      <c r="I28" s="40">
        <f>IF($E28="Research",$B28/60*Pricelist!$C$13+$C28/60*Pricelist!$C$14+$D28/60*Pricelist!$C$15,0)</f>
        <v>0</v>
      </c>
      <c r="J28" s="40"/>
    </row>
    <row r="29" spans="1:14" x14ac:dyDescent="0.2">
      <c r="A29" s="105"/>
      <c r="B29" s="55"/>
      <c r="C29" s="55"/>
      <c r="D29" s="55"/>
      <c r="E29" s="55"/>
      <c r="F29" s="55"/>
      <c r="G29" s="40">
        <f>IF($E29="service support",$B29/60*Pricelist!$C$13+$C29/60*Pricelist!$C$14+$D29/60*Pricelist!$C$15,0)</f>
        <v>0</v>
      </c>
      <c r="H29" s="40">
        <f>IF($E29="Treatment",$B29/60*Pricelist!$C$13+$C29/60*Pricelist!$C$14+$D29/60*Pricelist!$C$15,0)</f>
        <v>0</v>
      </c>
      <c r="I29" s="40">
        <f>IF($E29="Research",$B29/60*Pricelist!$C$13+$C29/60*Pricelist!$C$14+$D29/60*Pricelist!$C$15,0)</f>
        <v>0</v>
      </c>
      <c r="J29" s="40">
        <f>IF($E29="Part B",$B29/60*Pricelist!$C$13+$C29/60*Pricelist!$C$14+$D29/60*Pricelist!$C$15,0)</f>
        <v>0</v>
      </c>
    </row>
    <row r="30" spans="1:14" x14ac:dyDescent="0.2">
      <c r="A30" s="138"/>
      <c r="B30" s="55"/>
      <c r="C30" s="55"/>
      <c r="D30" s="55"/>
      <c r="E30" s="55"/>
      <c r="F30" s="55"/>
      <c r="G30" s="40">
        <f>IF($E30="service support",$B30/60*Pricelist!$C$13+$C30/60*Pricelist!$C$14+$D30/60*Pricelist!$C$15,0)</f>
        <v>0</v>
      </c>
      <c r="H30" s="40">
        <f>IF($E30="Treatment",$B30/60*Pricelist!$C$13+$C30/60*Pricelist!$C$14+$D30/60*Pricelist!$C$15,0)</f>
        <v>0</v>
      </c>
      <c r="I30" s="40">
        <f>IF($E30="Research",$B30/60*Pricelist!$C$13+$C30/60*Pricelist!$C$14+$D30/60*Pricelist!$C$15,0)</f>
        <v>0</v>
      </c>
      <c r="J30" s="40">
        <f>IF($E30="Part B",$B30/60*Pricelist!$C$13+$C30/60*Pricelist!$C$14+$D30/60*Pricelist!$C$15,0)</f>
        <v>0</v>
      </c>
    </row>
    <row r="31" spans="1:14" x14ac:dyDescent="0.2">
      <c r="A31" s="105"/>
      <c r="B31" s="55"/>
      <c r="C31" s="55"/>
      <c r="D31" s="55"/>
      <c r="E31" s="55"/>
      <c r="F31" s="55"/>
      <c r="G31" s="40">
        <f>IF($E31="service support",$B31/60*Pricelist!$C$13+$C31/60*Pricelist!$C$14+$D31/60*Pricelist!$C$15,0)</f>
        <v>0</v>
      </c>
      <c r="H31" s="40">
        <f>IF($E31="Treatment",$B31/60*Pricelist!$C$13+$C31/60*Pricelist!$C$14+$D31/60*Pricelist!$C$15,0)</f>
        <v>0</v>
      </c>
      <c r="I31" s="40">
        <f>IF($E31="Research",$B31/60*Pricelist!$C$13+$C31/60*Pricelist!$C$14+$D31/60*Pricelist!$C$15,0)</f>
        <v>0</v>
      </c>
      <c r="J31" s="40">
        <f>IF($E31="Part B",$B31/60*Pricelist!$C$13+$C31/60*Pricelist!$C$14+$D31/60*Pricelist!$C$15,0)</f>
        <v>0</v>
      </c>
    </row>
    <row r="32" spans="1:14" x14ac:dyDescent="0.2">
      <c r="A32" s="105"/>
      <c r="B32" s="55"/>
      <c r="C32" s="55"/>
      <c r="D32" s="55"/>
      <c r="E32" s="55"/>
      <c r="F32" s="55"/>
      <c r="G32" s="40">
        <f>IF($E32="service support",$B32/60*Pricelist!$C$13+$C32/60*Pricelist!$C$14+$D32/60*Pricelist!$C$15,0)</f>
        <v>0</v>
      </c>
      <c r="H32" s="40">
        <f>IF($E32="Treatment",$B32/60*Pricelist!$C$13+$C32/60*Pricelist!$C$14+$D32/60*Pricelist!$C$15,0)</f>
        <v>0</v>
      </c>
      <c r="I32" s="40">
        <f>IF($E32="Research",$B32/60*Pricelist!$C$13+$C32/60*Pricelist!$C$14+$D32/60*Pricelist!$C$15,0)</f>
        <v>0</v>
      </c>
      <c r="J32" s="40">
        <f>IF($E32="Part B",$B32/60*Pricelist!$C$13+$C32/60*Pricelist!$C$14+$D32/60*Pricelist!$C$15,0)</f>
        <v>0</v>
      </c>
    </row>
    <row r="33" spans="1:10" x14ac:dyDescent="0.2">
      <c r="A33" s="84"/>
      <c r="B33" s="55"/>
      <c r="C33" s="55"/>
      <c r="D33" s="55"/>
      <c r="E33" s="55"/>
      <c r="F33" s="55"/>
      <c r="G33" s="40">
        <f>IF($E33="service support",$B33/60*Pricelist!$C$13+$C33/60*Pricelist!$C$14+$D33/60*Pricelist!$C$15,0)</f>
        <v>0</v>
      </c>
      <c r="H33" s="40">
        <f>IF($E33="Treatment",$B33/60*Pricelist!$C$13+$C33/60*Pricelist!$C$14+$D33/60*Pricelist!$C$15,0)</f>
        <v>0</v>
      </c>
      <c r="I33" s="40">
        <f>IF($E33="Research",$B33/60*Pricelist!$C$13+$C33/60*Pricelist!$C$14+$D33/60*Pricelist!$C$15,0)</f>
        <v>0</v>
      </c>
      <c r="J33" s="40">
        <f>IF($E33="Part B",$B33/60*Pricelist!$C$13+$C33/60*Pricelist!$C$14+$D33/60*Pricelist!$C$15,0)</f>
        <v>0</v>
      </c>
    </row>
    <row r="34" spans="1:10" x14ac:dyDescent="0.2">
      <c r="A34" s="84"/>
      <c r="B34" s="55"/>
      <c r="C34" s="55"/>
      <c r="D34" s="55"/>
      <c r="E34" s="55"/>
      <c r="F34" s="55"/>
      <c r="G34" s="40">
        <f>IF($E34="service support",$B34/60*Pricelist!$C$13+$C34/60*Pricelist!$C$14+$D34/60*Pricelist!$C$15,0)</f>
        <v>0</v>
      </c>
      <c r="H34" s="40">
        <f>IF($E34="Treatment",$B34/60*Pricelist!$C$13+$C34/60*Pricelist!$C$14+$D34/60*Pricelist!$C$15,0)</f>
        <v>0</v>
      </c>
      <c r="I34" s="40">
        <f>IF($E34="Research",$B34/60*Pricelist!$C$13+$C34/60*Pricelist!$C$14+$D34/60*Pricelist!$C$15,0)</f>
        <v>0</v>
      </c>
      <c r="J34" s="40">
        <f>IF($E34="Part B",$B34/60*Pricelist!$C$13+$C34/60*Pricelist!$C$14+$D34/60*Pricelist!$C$15,0)</f>
        <v>0</v>
      </c>
    </row>
    <row r="35" spans="1:10" x14ac:dyDescent="0.2">
      <c r="A35" s="84"/>
      <c r="B35" s="55"/>
      <c r="C35" s="55"/>
      <c r="D35" s="55"/>
      <c r="E35" s="55"/>
      <c r="F35" s="55"/>
      <c r="G35" s="40">
        <f>IF($E35="service support",$B35/60*Pricelist!$C$13+$C35/60*Pricelist!$C$14+$D35/60*Pricelist!$C$15,0)</f>
        <v>0</v>
      </c>
      <c r="H35" s="40">
        <f>IF($E35="Treatment",$B35/60*Pricelist!$C$13+$C35/60*Pricelist!$C$14+$D35/60*Pricelist!$C$15,0)</f>
        <v>0</v>
      </c>
      <c r="I35" s="40">
        <f>IF($E35="Research",$B35/60*Pricelist!$C$13+$C35/60*Pricelist!$C$14+$D35/60*Pricelist!$C$15,0)</f>
        <v>0</v>
      </c>
      <c r="J35" s="40">
        <f>IF($E35="Part B",$B35/60*Pricelist!$C$13+$C35/60*Pricelist!$C$14+$D35/60*Pricelist!$C$15,0)</f>
        <v>0</v>
      </c>
    </row>
    <row r="36" spans="1:10" x14ac:dyDescent="0.2">
      <c r="A36" s="84"/>
      <c r="B36" s="55"/>
      <c r="C36" s="55"/>
      <c r="D36" s="55"/>
      <c r="E36" s="55"/>
      <c r="F36" s="55"/>
      <c r="G36" s="40">
        <f>IF($E36="service support",$B36/60*Pricelist!$C$13+$C36/60*Pricelist!$C$14+$D36/60*Pricelist!$C$15,0)</f>
        <v>0</v>
      </c>
      <c r="H36" s="40">
        <f>IF($E36="Treatment",$B36/60*Pricelist!$C$13+$C36/60*Pricelist!$C$14+$D36/60*Pricelist!$C$15,0)</f>
        <v>0</v>
      </c>
      <c r="I36" s="40">
        <f>IF($E36="Research",$B36/60*Pricelist!$C$13+$C36/60*Pricelist!$C$14+$D36/60*Pricelist!$C$15,0)</f>
        <v>0</v>
      </c>
      <c r="J36" s="40">
        <f>IF($E36="Part B",$B36/60*Pricelist!$C$13+$C36/60*Pricelist!$C$14+$D36/60*Pricelist!$C$15,0)</f>
        <v>0</v>
      </c>
    </row>
    <row r="37" spans="1:10" x14ac:dyDescent="0.2">
      <c r="A37" s="84"/>
      <c r="B37" s="55"/>
      <c r="C37" s="55"/>
      <c r="D37" s="55"/>
      <c r="E37" s="55"/>
      <c r="F37" s="55"/>
      <c r="G37" s="40">
        <f>IF($E37="service support",$B37/60*Pricelist!$C$13+$C37/60*Pricelist!$C$14+$D37/60*Pricelist!$C$15,0)</f>
        <v>0</v>
      </c>
      <c r="H37" s="40">
        <f>IF($E37="Treatment",$B37/60*Pricelist!$C$13+$C37/60*Pricelist!$C$14+$D37/60*Pricelist!$C$15,0)</f>
        <v>0</v>
      </c>
      <c r="I37" s="40">
        <f>IF($E37="Research",$B37/60*Pricelist!$C$13+$C37/60*Pricelist!$C$14+$D37/60*Pricelist!$C$15,0)</f>
        <v>0</v>
      </c>
      <c r="J37" s="40">
        <f>IF($E37="Part B",$B37/60*Pricelist!$C$13+$C37/60*Pricelist!$C$14+$D37/60*Pricelist!$C$15,0)</f>
        <v>0</v>
      </c>
    </row>
    <row r="38" spans="1:10" x14ac:dyDescent="0.2">
      <c r="A38" s="84"/>
      <c r="B38" s="55"/>
      <c r="C38" s="55"/>
      <c r="D38" s="55"/>
      <c r="E38" s="55"/>
      <c r="F38" s="55"/>
      <c r="G38" s="40">
        <f>IF($E38="service support",$B38/60*Pricelist!$C$13+$C38/60*Pricelist!$C$14+$D38/60*Pricelist!$C$15,0)</f>
        <v>0</v>
      </c>
      <c r="H38" s="40">
        <f>IF($E38="Treatment",$B38/60*Pricelist!$C$13+$C38/60*Pricelist!$C$14+$D38/60*Pricelist!$C$15,0)</f>
        <v>0</v>
      </c>
      <c r="I38" s="40">
        <f>IF($E38="Research",$B38/60*Pricelist!$C$13+$C38/60*Pricelist!$C$14+$D38/60*Pricelist!$C$15,0)</f>
        <v>0</v>
      </c>
      <c r="J38" s="40">
        <f>IF($E38="Part B",$B38/60*Pricelist!$C$13+$C38/60*Pricelist!$C$14+$D38/60*Pricelist!$C$15,0)</f>
        <v>0</v>
      </c>
    </row>
    <row r="39" spans="1:10" x14ac:dyDescent="0.2">
      <c r="A39" s="139" t="s">
        <v>251</v>
      </c>
      <c r="B39" s="91"/>
      <c r="C39" s="91"/>
      <c r="D39" s="91"/>
      <c r="E39" s="91"/>
      <c r="F39" s="91"/>
      <c r="G39" s="89"/>
      <c r="H39" s="89"/>
      <c r="I39" s="144"/>
      <c r="J39" s="89"/>
    </row>
    <row r="40" spans="1:10" x14ac:dyDescent="0.2">
      <c r="A40" s="140"/>
      <c r="B40" s="55"/>
      <c r="C40" s="55"/>
      <c r="D40" s="55"/>
      <c r="E40" s="55"/>
      <c r="F40" s="55"/>
      <c r="G40" s="43"/>
      <c r="H40" s="43"/>
      <c r="I40" s="143"/>
      <c r="J40" s="43"/>
    </row>
    <row r="41" spans="1:10" x14ac:dyDescent="0.2">
      <c r="A41" s="55"/>
      <c r="B41" s="55"/>
      <c r="C41" s="55"/>
      <c r="D41" s="55"/>
      <c r="E41" s="55"/>
      <c r="F41" s="55"/>
      <c r="G41" s="43"/>
      <c r="H41" s="43"/>
      <c r="I41" s="143"/>
      <c r="J41" s="43"/>
    </row>
    <row r="42" spans="1:10" x14ac:dyDescent="0.2">
      <c r="A42" s="85"/>
      <c r="B42" s="86"/>
      <c r="C42" s="86"/>
      <c r="D42" s="86"/>
      <c r="E42" s="86"/>
      <c r="F42" s="86"/>
      <c r="G42" s="44"/>
      <c r="H42" s="44"/>
      <c r="I42" s="60"/>
      <c r="J42" s="44"/>
    </row>
    <row r="44" spans="1:10" x14ac:dyDescent="0.2">
      <c r="D44" s="57"/>
    </row>
    <row r="46" spans="1:10" ht="38.25" x14ac:dyDescent="0.2">
      <c r="A46" s="66" t="s">
        <v>93</v>
      </c>
      <c r="B46" s="45"/>
      <c r="C46" s="46" t="s">
        <v>96</v>
      </c>
      <c r="D46" s="46" t="s">
        <v>173</v>
      </c>
      <c r="E46" s="46" t="s">
        <v>181</v>
      </c>
      <c r="F46" s="46"/>
      <c r="G46" s="46" t="s">
        <v>183</v>
      </c>
      <c r="H46" s="46" t="s">
        <v>204</v>
      </c>
      <c r="I46" s="46" t="str">
        <f>I23</f>
        <v>Research part A Cost</v>
      </c>
    </row>
    <row r="47" spans="1:10" x14ac:dyDescent="0.2">
      <c r="A47" s="7" t="s">
        <v>94</v>
      </c>
      <c r="B47" s="51"/>
      <c r="C47" s="51"/>
      <c r="D47" s="51"/>
      <c r="E47" s="51"/>
      <c r="F47" s="51"/>
      <c r="G47" s="51"/>
      <c r="H47" s="51"/>
      <c r="I47" s="51"/>
    </row>
    <row r="48" spans="1:10" x14ac:dyDescent="0.2">
      <c r="A48" s="7" t="s">
        <v>95</v>
      </c>
      <c r="B48" s="50"/>
      <c r="C48" s="43"/>
      <c r="D48" s="137"/>
      <c r="F48" s="50"/>
      <c r="G48" s="40">
        <f>IF($E48="service support",$C48*$D48,0)</f>
        <v>0</v>
      </c>
      <c r="H48" s="40">
        <f>IF($E48="treatment",$C48*$D48,0)</f>
        <v>0</v>
      </c>
      <c r="I48" s="40">
        <f>IF($E48="Research",$C48*$D48,0)</f>
        <v>0</v>
      </c>
    </row>
    <row r="49" spans="1:10" x14ac:dyDescent="0.2">
      <c r="A49" s="7" t="s">
        <v>250</v>
      </c>
      <c r="B49" s="50"/>
      <c r="C49" s="43"/>
      <c r="D49" s="137"/>
      <c r="F49" s="50"/>
      <c r="G49" s="40">
        <f>IF($E49="service support",$C49*$D49,0)</f>
        <v>0</v>
      </c>
      <c r="H49" s="40">
        <f>IF($E49="treatment",$C49*$D49,0)</f>
        <v>0</v>
      </c>
      <c r="I49" s="40">
        <f>IF($E49="Research",$C49*$D49,0)</f>
        <v>0</v>
      </c>
    </row>
    <row r="50" spans="1:10" x14ac:dyDescent="0.2">
      <c r="A50" s="7" t="s">
        <v>15</v>
      </c>
      <c r="B50" s="50"/>
      <c r="C50" s="43"/>
      <c r="D50" s="70"/>
      <c r="F50" s="50"/>
      <c r="G50" s="40">
        <f>IF($E50="service support",$C50*$D50,0)</f>
        <v>0</v>
      </c>
      <c r="H50" s="40">
        <f>IF($E50="treatment",$C50*$D50,0)</f>
        <v>0</v>
      </c>
      <c r="I50" s="40">
        <f>IF($E50="Research",$C50*$D50,0)</f>
        <v>0</v>
      </c>
    </row>
    <row r="51" spans="1:10" x14ac:dyDescent="0.2">
      <c r="A51" s="7" t="s">
        <v>18</v>
      </c>
      <c r="B51" s="50"/>
      <c r="C51" s="43"/>
      <c r="D51" s="70">
        <f>Pricelist!C67</f>
        <v>6</v>
      </c>
      <c r="F51" s="50"/>
      <c r="G51" s="40">
        <f>IF($E51="service support",$C51*$D51,0)</f>
        <v>0</v>
      </c>
      <c r="H51" s="40">
        <f>IF($E51="treatment",$C51*$D51,0)</f>
        <v>0</v>
      </c>
      <c r="I51" s="40">
        <f>IF($E51="Research",$C51*$D51,0)</f>
        <v>0</v>
      </c>
    </row>
    <row r="52" spans="1:10" x14ac:dyDescent="0.2">
      <c r="A52" s="7" t="s">
        <v>17</v>
      </c>
      <c r="B52" s="50"/>
      <c r="C52" s="43"/>
      <c r="D52" s="70">
        <f>Pricelist!C68</f>
        <v>8</v>
      </c>
      <c r="F52" s="50"/>
      <c r="G52" s="40">
        <f>IF($E52="service support",$C52*$D52,0)</f>
        <v>0</v>
      </c>
      <c r="H52" s="40">
        <f>IF($E52="treatment",$C52*$D52,0)</f>
        <v>0</v>
      </c>
      <c r="I52" s="40">
        <f>IF($E52="Research",$C52*$D52,0)</f>
        <v>0</v>
      </c>
    </row>
    <row r="53" spans="1:10" x14ac:dyDescent="0.2">
      <c r="A53" s="7"/>
      <c r="B53" s="50"/>
      <c r="C53" s="50"/>
      <c r="D53" s="50"/>
      <c r="E53" s="50"/>
      <c r="F53" s="50">
        <v>0</v>
      </c>
      <c r="G53" s="50"/>
      <c r="H53" s="50"/>
      <c r="I53" s="50"/>
    </row>
    <row r="54" spans="1:10" x14ac:dyDescent="0.2">
      <c r="A54" s="7" t="s">
        <v>119</v>
      </c>
      <c r="B54" s="50"/>
      <c r="C54" s="50"/>
      <c r="D54" s="50"/>
      <c r="E54" s="50"/>
      <c r="F54" s="50"/>
      <c r="G54" s="50"/>
      <c r="H54" s="50"/>
      <c r="I54" s="50"/>
    </row>
    <row r="55" spans="1:10" x14ac:dyDescent="0.2">
      <c r="A55" s="7" t="s">
        <v>108</v>
      </c>
      <c r="B55" s="50"/>
      <c r="C55" s="50"/>
      <c r="D55" s="50"/>
      <c r="E55" s="50"/>
      <c r="F55" s="50"/>
      <c r="G55" s="50"/>
      <c r="H55" s="50"/>
      <c r="I55" s="50"/>
    </row>
    <row r="56" spans="1:10" x14ac:dyDescent="0.2">
      <c r="A56" s="49" t="s">
        <v>197</v>
      </c>
      <c r="B56" s="50"/>
      <c r="C56" s="43"/>
      <c r="D56" s="40"/>
      <c r="F56" s="50"/>
      <c r="G56" s="40">
        <f>IF($E56="service support",$C56*$D56,0)</f>
        <v>0</v>
      </c>
      <c r="H56" s="40">
        <f>IF($E56="treatment",$C56*$D56,0)</f>
        <v>0</v>
      </c>
      <c r="I56" s="40">
        <f>IF($E56="Research",$C56*$D56,0)</f>
        <v>0</v>
      </c>
    </row>
    <row r="57" spans="1:10" x14ac:dyDescent="0.2">
      <c r="A57" s="49" t="s">
        <v>69</v>
      </c>
      <c r="B57" s="50"/>
      <c r="C57" s="43"/>
      <c r="D57" s="40"/>
      <c r="F57" s="50"/>
      <c r="G57" s="40">
        <f>IF($E57="service support",$C57*$D57,0)</f>
        <v>0</v>
      </c>
      <c r="H57" s="40">
        <f>IF($E57="treatment",$C57*$D57,0)</f>
        <v>0</v>
      </c>
      <c r="I57" s="40">
        <f>IF($E57="Research",$C57*$D57,0)</f>
        <v>0</v>
      </c>
    </row>
    <row r="58" spans="1:10" x14ac:dyDescent="0.2">
      <c r="A58" s="58" t="s">
        <v>98</v>
      </c>
      <c r="B58" s="50"/>
      <c r="C58" s="43"/>
      <c r="D58" s="40"/>
      <c r="F58" s="50"/>
      <c r="G58" s="40">
        <f>IF($E58="service support",$C58*$D58,0)</f>
        <v>0</v>
      </c>
      <c r="H58" s="40">
        <f>IF($E58="treatment",$C58*$D58,0)</f>
        <v>0</v>
      </c>
      <c r="I58" s="40">
        <f>IF($E58="Research",$C58*$D58,0)</f>
        <v>0</v>
      </c>
    </row>
    <row r="59" spans="1:10" x14ac:dyDescent="0.2">
      <c r="A59" s="59" t="s">
        <v>146</v>
      </c>
      <c r="B59" s="52"/>
      <c r="C59" s="44"/>
      <c r="D59" s="60"/>
      <c r="E59" s="36"/>
      <c r="F59" s="52"/>
      <c r="G59" s="42">
        <f>IF($E59="service support",$C59*$D59,0)</f>
        <v>0</v>
      </c>
      <c r="H59" s="42">
        <f>IF($E59="treatment",$C59*$D59,0)</f>
        <v>0</v>
      </c>
      <c r="I59" s="42">
        <f>IF($E59="Research",$C59*$D59,0)</f>
        <v>0</v>
      </c>
    </row>
    <row r="61" spans="1:10" ht="38.25" x14ac:dyDescent="0.2">
      <c r="A61" s="81" t="s">
        <v>184</v>
      </c>
      <c r="B61" s="46" t="s">
        <v>179</v>
      </c>
      <c r="C61" s="46" t="s">
        <v>183</v>
      </c>
      <c r="D61" s="46" t="s">
        <v>208</v>
      </c>
      <c r="E61" s="114" t="s">
        <v>236</v>
      </c>
      <c r="F61" s="114" t="s">
        <v>237</v>
      </c>
      <c r="G61" s="46" t="s">
        <v>183</v>
      </c>
      <c r="H61" s="46" t="s">
        <v>204</v>
      </c>
      <c r="I61" s="46" t="str">
        <f>I46</f>
        <v>Research part A Cost</v>
      </c>
      <c r="J61" s="114" t="s">
        <v>237</v>
      </c>
    </row>
    <row r="62" spans="1:10" x14ac:dyDescent="0.2">
      <c r="A62" s="7" t="str">
        <f>A48</f>
        <v>Biochemistry</v>
      </c>
      <c r="B62" s="83">
        <f>IF(E48="Combination",C48,0)</f>
        <v>0</v>
      </c>
      <c r="C62" s="64"/>
      <c r="D62" s="64"/>
      <c r="E62" s="64"/>
      <c r="F62" s="64"/>
      <c r="G62" s="41">
        <f t="shared" ref="G62:J66" si="2">C62*$D48</f>
        <v>0</v>
      </c>
      <c r="H62" s="41">
        <f t="shared" si="2"/>
        <v>0</v>
      </c>
      <c r="I62" s="41">
        <f t="shared" si="2"/>
        <v>0</v>
      </c>
      <c r="J62" s="41">
        <f t="shared" si="2"/>
        <v>0</v>
      </c>
    </row>
    <row r="63" spans="1:10" x14ac:dyDescent="0.2">
      <c r="A63" s="7" t="str">
        <f>A49</f>
        <v>Genomic/ctDNA Research bloods</v>
      </c>
      <c r="B63" s="79">
        <f>IF(E49="Combination",C49,0)</f>
        <v>0</v>
      </c>
      <c r="C63" s="35"/>
      <c r="D63" s="35"/>
      <c r="E63" s="35"/>
      <c r="F63" s="35"/>
      <c r="G63" s="40">
        <f t="shared" si="2"/>
        <v>0</v>
      </c>
      <c r="H63" s="40">
        <f t="shared" si="2"/>
        <v>0</v>
      </c>
      <c r="I63" s="40">
        <f t="shared" si="2"/>
        <v>0</v>
      </c>
      <c r="J63" s="40">
        <f>F63*$D49</f>
        <v>0</v>
      </c>
    </row>
    <row r="64" spans="1:10" x14ac:dyDescent="0.2">
      <c r="A64" s="7" t="str">
        <f>A50</f>
        <v>Histopathology</v>
      </c>
      <c r="B64" s="79">
        <f>IF(E50="Combination",C50,0)</f>
        <v>0</v>
      </c>
      <c r="C64" s="35"/>
      <c r="D64" s="35"/>
      <c r="E64" s="35"/>
      <c r="F64" s="35"/>
      <c r="G64" s="40">
        <f t="shared" si="2"/>
        <v>0</v>
      </c>
      <c r="H64" s="40">
        <f t="shared" si="2"/>
        <v>0</v>
      </c>
      <c r="I64" s="40">
        <f t="shared" si="2"/>
        <v>0</v>
      </c>
      <c r="J64" s="40">
        <f t="shared" si="2"/>
        <v>0</v>
      </c>
    </row>
    <row r="65" spans="1:10" x14ac:dyDescent="0.2">
      <c r="A65" s="7" t="str">
        <f>A51</f>
        <v>Immunology</v>
      </c>
      <c r="B65" s="79">
        <f>IF(E51="Combination",C51,0)</f>
        <v>0</v>
      </c>
      <c r="C65" s="35"/>
      <c r="D65" s="35"/>
      <c r="E65" s="35"/>
      <c r="F65" s="35"/>
      <c r="G65" s="40">
        <f t="shared" si="2"/>
        <v>0</v>
      </c>
      <c r="H65" s="40">
        <f t="shared" si="2"/>
        <v>0</v>
      </c>
      <c r="I65" s="40">
        <f t="shared" si="2"/>
        <v>0</v>
      </c>
      <c r="J65" s="40">
        <f t="shared" si="2"/>
        <v>0</v>
      </c>
    </row>
    <row r="66" spans="1:10" x14ac:dyDescent="0.2">
      <c r="A66" s="7" t="str">
        <f>A52</f>
        <v>Microbiology</v>
      </c>
      <c r="B66" s="79">
        <f>IF(E52="Combination",C52,0)</f>
        <v>0</v>
      </c>
      <c r="C66" s="35"/>
      <c r="D66" s="35"/>
      <c r="E66" s="35"/>
      <c r="F66" s="35"/>
      <c r="G66" s="40">
        <f t="shared" si="2"/>
        <v>0</v>
      </c>
      <c r="H66" s="40">
        <f t="shared" si="2"/>
        <v>0</v>
      </c>
      <c r="I66" s="40">
        <f t="shared" si="2"/>
        <v>0</v>
      </c>
      <c r="J66" s="40">
        <f t="shared" si="2"/>
        <v>0</v>
      </c>
    </row>
    <row r="67" spans="1:10" x14ac:dyDescent="0.2">
      <c r="A67" s="7" t="str">
        <f>A56</f>
        <v>Simple ECG</v>
      </c>
      <c r="B67" s="79">
        <f>IF(E56="Combination",C56,0)</f>
        <v>0</v>
      </c>
      <c r="C67" s="35"/>
      <c r="D67" s="35"/>
      <c r="E67" s="35"/>
      <c r="F67" s="35"/>
      <c r="G67" s="40">
        <f t="shared" ref="G67:J70" si="3">C67*$D56</f>
        <v>0</v>
      </c>
      <c r="H67" s="40">
        <f t="shared" si="3"/>
        <v>0</v>
      </c>
      <c r="I67" s="40">
        <f t="shared" si="3"/>
        <v>0</v>
      </c>
      <c r="J67" s="40">
        <f t="shared" si="3"/>
        <v>0</v>
      </c>
    </row>
    <row r="68" spans="1:10" x14ac:dyDescent="0.2">
      <c r="A68" s="7" t="str">
        <f>A57</f>
        <v>Computerised Tomography Scan, more than three areas</v>
      </c>
      <c r="B68" s="79">
        <f>IF(E57="Combination",C57,0)</f>
        <v>0</v>
      </c>
      <c r="C68" s="35"/>
      <c r="D68" s="35"/>
      <c r="E68" s="35"/>
      <c r="F68" s="35"/>
      <c r="G68" s="40">
        <f t="shared" si="3"/>
        <v>0</v>
      </c>
      <c r="H68" s="40">
        <f t="shared" si="3"/>
        <v>0</v>
      </c>
      <c r="I68" s="40">
        <f t="shared" si="3"/>
        <v>0</v>
      </c>
      <c r="J68" s="40">
        <f t="shared" si="3"/>
        <v>0</v>
      </c>
    </row>
    <row r="69" spans="1:10" x14ac:dyDescent="0.2">
      <c r="A69" s="7" t="str">
        <f>A58</f>
        <v>Please Select</v>
      </c>
      <c r="B69" s="79">
        <f>IF(E58="Combination",C58,0)</f>
        <v>0</v>
      </c>
      <c r="C69" s="35"/>
      <c r="D69" s="35"/>
      <c r="E69" s="35"/>
      <c r="F69" s="35"/>
      <c r="G69" s="40">
        <f t="shared" si="3"/>
        <v>0</v>
      </c>
      <c r="H69" s="40">
        <f t="shared" si="3"/>
        <v>0</v>
      </c>
      <c r="I69" s="40">
        <f t="shared" si="3"/>
        <v>0</v>
      </c>
      <c r="J69" s="40">
        <f t="shared" si="3"/>
        <v>0</v>
      </c>
    </row>
    <row r="70" spans="1:10" x14ac:dyDescent="0.2">
      <c r="A70" s="8" t="str">
        <f>A59</f>
        <v>Other - Overwrite this cell with name of test</v>
      </c>
      <c r="B70" s="80">
        <f>IF(E59="Combination",C59,0)</f>
        <v>0</v>
      </c>
      <c r="C70" s="36"/>
      <c r="D70" s="36"/>
      <c r="E70" s="36"/>
      <c r="F70" s="36"/>
      <c r="G70" s="42">
        <f t="shared" si="3"/>
        <v>0</v>
      </c>
      <c r="H70" s="42">
        <f t="shared" si="3"/>
        <v>0</v>
      </c>
      <c r="I70" s="42">
        <f t="shared" si="3"/>
        <v>0</v>
      </c>
      <c r="J70" s="42">
        <f t="shared" si="3"/>
        <v>0</v>
      </c>
    </row>
    <row r="72" spans="1:10" ht="51" x14ac:dyDescent="0.2">
      <c r="A72" s="66" t="s">
        <v>104</v>
      </c>
      <c r="B72" s="46" t="s">
        <v>126</v>
      </c>
      <c r="C72" s="46" t="s">
        <v>121</v>
      </c>
      <c r="D72" s="46" t="s">
        <v>122</v>
      </c>
      <c r="E72" s="46" t="s">
        <v>181</v>
      </c>
      <c r="F72" s="46"/>
      <c r="G72" s="46" t="s">
        <v>183</v>
      </c>
      <c r="H72" s="46" t="s">
        <v>204</v>
      </c>
      <c r="I72" s="46" t="str">
        <f>I46</f>
        <v>Research part A Cost</v>
      </c>
      <c r="J72" s="46" t="str">
        <f>J23</f>
        <v>Research part B costs</v>
      </c>
    </row>
    <row r="73" spans="1:10" x14ac:dyDescent="0.2">
      <c r="A73" s="39" t="s">
        <v>105</v>
      </c>
      <c r="B73" s="45"/>
      <c r="C73" s="148"/>
      <c r="D73" s="148"/>
      <c r="E73" s="45"/>
      <c r="F73" s="45"/>
      <c r="G73" s="45"/>
      <c r="H73" s="45"/>
      <c r="I73" s="45"/>
      <c r="J73" s="45"/>
    </row>
    <row r="74" spans="1:10" x14ac:dyDescent="0.2">
      <c r="A74" s="7" t="s">
        <v>129</v>
      </c>
      <c r="B74" s="50"/>
      <c r="C74" s="35"/>
      <c r="D74" s="40">
        <f>C74*Pricelist!C81</f>
        <v>0</v>
      </c>
      <c r="E74" s="5"/>
      <c r="F74" s="51"/>
      <c r="G74" s="41">
        <f>IF($E74="service support",$C74*Pricelist!$C81,0)</f>
        <v>0</v>
      </c>
      <c r="H74" s="41">
        <f>IF($E74="treatment",$C74*Pricelist!$C81,0)</f>
        <v>0</v>
      </c>
      <c r="I74" s="41">
        <f>IF($E74="Research",$C74*Pricelist!$C81,0)</f>
        <v>0</v>
      </c>
      <c r="J74" s="41">
        <f>IF($E74="Part B",$C74*Pricelist!$C81,0)</f>
        <v>0</v>
      </c>
    </row>
    <row r="75" spans="1:10" x14ac:dyDescent="0.2">
      <c r="A75" s="7" t="s">
        <v>130</v>
      </c>
      <c r="B75" s="50"/>
      <c r="C75" s="55"/>
      <c r="D75" s="40">
        <f>C75*Pricelist!C82</f>
        <v>0</v>
      </c>
      <c r="E75" s="7"/>
      <c r="F75" s="50"/>
      <c r="G75" s="40">
        <f>IF($E75="service support",$C75*Pricelist!$C82,0)</f>
        <v>0</v>
      </c>
      <c r="H75" s="40">
        <f>IF($E75="treatment",$C75*Pricelist!$C82,0)</f>
        <v>0</v>
      </c>
      <c r="I75" s="40">
        <f>IF($E75="Research",$C75*Pricelist!$C82,0)</f>
        <v>0</v>
      </c>
      <c r="J75" s="40">
        <f>IF($E75="Part B",$C75*Pricelist!$C82,0)</f>
        <v>0</v>
      </c>
    </row>
    <row r="76" spans="1:10" x14ac:dyDescent="0.2">
      <c r="A76" s="7" t="s">
        <v>234</v>
      </c>
      <c r="B76" s="50"/>
      <c r="C76" s="50"/>
      <c r="D76" s="55"/>
      <c r="E76" s="50"/>
      <c r="F76" s="50"/>
      <c r="G76" s="50"/>
      <c r="H76" s="50"/>
      <c r="I76" s="55">
        <f>D76</f>
        <v>0</v>
      </c>
      <c r="J76" s="50"/>
    </row>
    <row r="77" spans="1:10" x14ac:dyDescent="0.2">
      <c r="A77" s="7" t="s">
        <v>182</v>
      </c>
      <c r="B77" s="50"/>
      <c r="C77" s="50"/>
      <c r="D77" s="55"/>
      <c r="E77" s="50"/>
      <c r="F77" s="50"/>
      <c r="G77" s="50"/>
      <c r="H77" s="55">
        <f>D77</f>
        <v>0</v>
      </c>
      <c r="I77" s="50"/>
      <c r="J77" s="50"/>
    </row>
    <row r="78" spans="1:10" x14ac:dyDescent="0.2">
      <c r="A78" s="7" t="s">
        <v>124</v>
      </c>
      <c r="B78" s="35"/>
      <c r="C78" s="50"/>
      <c r="D78" s="79">
        <f>IF(B78="yes",Pricelist!C83,0)</f>
        <v>0</v>
      </c>
      <c r="E78" s="64"/>
      <c r="F78" s="50"/>
      <c r="G78" s="41">
        <f>IF($E78="service support",$D78,0)</f>
        <v>0</v>
      </c>
      <c r="H78" s="41">
        <f>IF($E78="treatment",D78,0)</f>
        <v>0</v>
      </c>
      <c r="I78" s="41">
        <f>IF($E78="Research",D78,0)</f>
        <v>0</v>
      </c>
      <c r="J78" s="41">
        <f>IF($E78="Part B",E78,0)</f>
        <v>0</v>
      </c>
    </row>
    <row r="79" spans="1:10" x14ac:dyDescent="0.2">
      <c r="A79" s="8" t="s">
        <v>120</v>
      </c>
      <c r="B79" s="36"/>
      <c r="C79" s="52"/>
      <c r="D79" s="80">
        <f>IF(B79="yes low",Pricelist!C84,IF(B79="yes medium",Pricelist!C85,IF(B79="yes high",Pricelist!C86,0)))</f>
        <v>0</v>
      </c>
      <c r="E79" s="36"/>
      <c r="F79" s="52"/>
      <c r="G79" s="42">
        <f>IF($E79="service support",$D79,0)</f>
        <v>0</v>
      </c>
      <c r="H79" s="42">
        <f>IF($E79="treatment",D79,0)</f>
        <v>0</v>
      </c>
      <c r="I79" s="42">
        <f>IF($E79="Research",D79,0)</f>
        <v>0</v>
      </c>
      <c r="J79" s="42">
        <f>IF($E79="Part B",E79,0)</f>
        <v>0</v>
      </c>
    </row>
    <row r="81" spans="1:10" ht="38.25" x14ac:dyDescent="0.2">
      <c r="A81" s="81" t="s">
        <v>184</v>
      </c>
      <c r="B81" s="46" t="s">
        <v>179</v>
      </c>
      <c r="C81" s="46" t="s">
        <v>215</v>
      </c>
      <c r="D81" s="46" t="s">
        <v>216</v>
      </c>
      <c r="E81" s="46" t="s">
        <v>217</v>
      </c>
      <c r="F81" s="46" t="s">
        <v>218</v>
      </c>
      <c r="G81" s="46" t="s">
        <v>183</v>
      </c>
      <c r="H81" s="46" t="s">
        <v>204</v>
      </c>
      <c r="I81" s="46" t="str">
        <f>I72</f>
        <v>Research part A Cost</v>
      </c>
      <c r="J81" s="46" t="str">
        <f>J72</f>
        <v>Research part B costs</v>
      </c>
    </row>
    <row r="82" spans="1:10" x14ac:dyDescent="0.2">
      <c r="A82" s="7" t="str">
        <f>A74</f>
        <v>Dispensing fee  Aseptic</v>
      </c>
      <c r="B82" s="79">
        <f>IF(E74="Combination",C74,0)</f>
        <v>0</v>
      </c>
      <c r="C82" s="35"/>
      <c r="D82" s="35"/>
      <c r="E82" s="35"/>
      <c r="F82" s="35"/>
      <c r="G82" s="40">
        <f>C82*Pricelist!$C81</f>
        <v>0</v>
      </c>
      <c r="H82" s="40">
        <f>D82*Pricelist!$C81</f>
        <v>0</v>
      </c>
      <c r="I82" s="40">
        <f>E82*Pricelist!$C81</f>
        <v>0</v>
      </c>
      <c r="J82" s="40">
        <f>F82*Pricelist!$C81</f>
        <v>0</v>
      </c>
    </row>
    <row r="83" spans="1:10" x14ac:dyDescent="0.2">
      <c r="A83" s="8" t="str">
        <f>A75</f>
        <v>Dispensing fee  Non Aseptic</v>
      </c>
      <c r="B83" s="80">
        <f>IF(E75="Combination",C75,0)</f>
        <v>0</v>
      </c>
      <c r="C83" s="36"/>
      <c r="D83" s="36"/>
      <c r="E83" s="36"/>
      <c r="F83" s="36"/>
      <c r="G83" s="42">
        <f>C83*Pricelist!$C82</f>
        <v>0</v>
      </c>
      <c r="H83" s="42">
        <f>D83*Pricelist!$C82</f>
        <v>0</v>
      </c>
      <c r="I83" s="42">
        <f>E83*Pricelist!$C82</f>
        <v>0</v>
      </c>
      <c r="J83" s="42">
        <f>F83*Pricelist!$C82</f>
        <v>0</v>
      </c>
    </row>
    <row r="85" spans="1:10" ht="38.25" x14ac:dyDescent="0.2">
      <c r="A85" s="66" t="s">
        <v>99</v>
      </c>
      <c r="B85" s="45"/>
      <c r="C85" s="47" t="s">
        <v>102</v>
      </c>
      <c r="D85" s="48" t="s">
        <v>97</v>
      </c>
      <c r="E85" s="38" t="s">
        <v>181</v>
      </c>
      <c r="F85" s="38" t="s">
        <v>107</v>
      </c>
      <c r="G85" s="46" t="s">
        <v>183</v>
      </c>
      <c r="H85" s="46" t="s">
        <v>204</v>
      </c>
      <c r="I85" s="46" t="str">
        <f>I81</f>
        <v>Research part A Cost</v>
      </c>
    </row>
    <row r="86" spans="1:10" x14ac:dyDescent="0.2">
      <c r="A86" s="35" t="s">
        <v>247</v>
      </c>
      <c r="B86" s="50"/>
      <c r="C86" s="35"/>
      <c r="D86" s="70">
        <f>Pricelist!C75</f>
        <v>742</v>
      </c>
      <c r="E86" s="64"/>
      <c r="F86" s="91"/>
      <c r="G86" s="41">
        <f>IF($E86="service support",$C86*$D86,0)</f>
        <v>0</v>
      </c>
      <c r="H86" s="41">
        <f>IF($E86="treatment",$C86*$D86,0)</f>
        <v>0</v>
      </c>
      <c r="I86" s="41">
        <f>IF($E86="Research",$C86*$D86,0)</f>
        <v>0</v>
      </c>
    </row>
    <row r="87" spans="1:10" x14ac:dyDescent="0.2">
      <c r="A87" s="35" t="s">
        <v>100</v>
      </c>
      <c r="B87" s="50"/>
      <c r="C87" s="35"/>
      <c r="D87" s="70">
        <f>Pricelist!C73</f>
        <v>46.07</v>
      </c>
      <c r="E87" s="35"/>
      <c r="F87" s="55"/>
      <c r="G87" s="40">
        <f>IF($E87="service support",$C87*$D87,0)</f>
        <v>0</v>
      </c>
      <c r="H87" s="40">
        <f>IF($E87="treatment",$C87*$D87,0)</f>
        <v>0</v>
      </c>
      <c r="I87" s="40">
        <f>IF($E87="Research",$C87*$D87,0)</f>
        <v>0</v>
      </c>
    </row>
    <row r="88" spans="1:10" x14ac:dyDescent="0.2">
      <c r="A88" s="36" t="s">
        <v>101</v>
      </c>
      <c r="B88" s="52"/>
      <c r="C88" s="36"/>
      <c r="D88" s="71">
        <f>Pricelist!C74</f>
        <v>742</v>
      </c>
      <c r="E88" s="36"/>
      <c r="F88" s="86"/>
      <c r="G88" s="42">
        <f>IF($E88="service support",$C88*$D88,0)</f>
        <v>0</v>
      </c>
      <c r="H88" s="42">
        <f>IF($E88="treatment",$C88*$D88,0)</f>
        <v>0</v>
      </c>
      <c r="I88" s="42">
        <f>IF($E88="Research",$C88*$D88,0)</f>
        <v>0</v>
      </c>
    </row>
    <row r="90" spans="1:10" ht="38.25" x14ac:dyDescent="0.2">
      <c r="A90" s="81" t="s">
        <v>184</v>
      </c>
      <c r="B90" s="38" t="s">
        <v>179</v>
      </c>
      <c r="C90" s="38" t="s">
        <v>183</v>
      </c>
      <c r="D90" s="38" t="s">
        <v>208</v>
      </c>
      <c r="E90" s="38" t="str">
        <f>H90</f>
        <v>Research part A Cost</v>
      </c>
      <c r="F90" s="38" t="s">
        <v>183</v>
      </c>
      <c r="G90" s="38" t="s">
        <v>204</v>
      </c>
      <c r="H90" s="38" t="str">
        <f>I85</f>
        <v>Research part A Cost</v>
      </c>
    </row>
    <row r="91" spans="1:10" x14ac:dyDescent="0.2">
      <c r="A91" s="5" t="str">
        <f>A86</f>
        <v>Inpatient per day</v>
      </c>
      <c r="B91" s="83">
        <f>IF(E86="Combination",C86,0)</f>
        <v>0</v>
      </c>
      <c r="C91" s="64"/>
      <c r="D91" s="64"/>
      <c r="E91" s="64"/>
      <c r="F91" s="41">
        <f t="shared" ref="F91:H93" si="4">C91*$D86</f>
        <v>0</v>
      </c>
      <c r="G91" s="41">
        <f t="shared" si="4"/>
        <v>0</v>
      </c>
      <c r="H91" s="41">
        <f t="shared" si="4"/>
        <v>0</v>
      </c>
    </row>
    <row r="92" spans="1:10" x14ac:dyDescent="0.2">
      <c r="A92" s="7" t="str">
        <f>A87</f>
        <v>Outpatient</v>
      </c>
      <c r="B92" s="79">
        <f>IF(E87="Combination",C87,0)</f>
        <v>0</v>
      </c>
      <c r="C92" s="35"/>
      <c r="D92" s="35"/>
      <c r="E92" s="35"/>
      <c r="F92" s="40">
        <f t="shared" si="4"/>
        <v>0</v>
      </c>
      <c r="G92" s="40">
        <f t="shared" si="4"/>
        <v>0</v>
      </c>
      <c r="H92" s="40">
        <f t="shared" si="4"/>
        <v>0</v>
      </c>
    </row>
    <row r="93" spans="1:10" x14ac:dyDescent="0.2">
      <c r="A93" s="8" t="str">
        <f>A88</f>
        <v>Day Case</v>
      </c>
      <c r="B93" s="80">
        <f>IF(E88="Combination",C88,0)</f>
        <v>0</v>
      </c>
      <c r="C93" s="36"/>
      <c r="D93" s="36"/>
      <c r="E93" s="36"/>
      <c r="F93" s="42">
        <f t="shared" si="4"/>
        <v>0</v>
      </c>
      <c r="G93" s="42">
        <f t="shared" si="4"/>
        <v>0</v>
      </c>
      <c r="H93" s="42">
        <f t="shared" si="4"/>
        <v>0</v>
      </c>
    </row>
    <row r="95" spans="1:10" x14ac:dyDescent="0.2">
      <c r="A95" s="37" t="s">
        <v>111</v>
      </c>
      <c r="B95" s="53"/>
      <c r="C95" s="53"/>
      <c r="D95" s="53"/>
      <c r="E95" s="53"/>
      <c r="F95" s="53"/>
      <c r="G95" s="53"/>
      <c r="H95" s="53"/>
      <c r="I95" s="6"/>
    </row>
    <row r="96" spans="1:10" x14ac:dyDescent="0.2">
      <c r="A96" s="142"/>
      <c r="B96" s="9"/>
      <c r="C96" s="9"/>
      <c r="D96" s="9"/>
      <c r="E96" s="9"/>
      <c r="F96" s="9"/>
      <c r="G96" s="9"/>
      <c r="H96" s="9"/>
      <c r="I96" s="10"/>
    </row>
    <row r="97" spans="1:9" x14ac:dyDescent="0.2">
      <c r="A97" s="107"/>
      <c r="I97" s="1"/>
    </row>
    <row r="98" spans="1:9" x14ac:dyDescent="0.2">
      <c r="A98" s="141"/>
    </row>
    <row r="99" spans="1:9" x14ac:dyDescent="0.2">
      <c r="A99" s="141"/>
    </row>
    <row r="100" spans="1:9" x14ac:dyDescent="0.2">
      <c r="A100" s="141"/>
    </row>
    <row r="101" spans="1:9" x14ac:dyDescent="0.2">
      <c r="A101" s="141"/>
    </row>
  </sheetData>
  <mergeCells count="13">
    <mergeCell ref="B17:D17"/>
    <mergeCell ref="B18:D18"/>
    <mergeCell ref="B24:D24"/>
    <mergeCell ref="B11:D11"/>
    <mergeCell ref="C73:D73"/>
    <mergeCell ref="B12:D12"/>
    <mergeCell ref="B13:D13"/>
    <mergeCell ref="B14:D14"/>
    <mergeCell ref="B19:D19"/>
    <mergeCell ref="B15:D15"/>
    <mergeCell ref="B16:D16"/>
    <mergeCell ref="B20:D20"/>
    <mergeCell ref="B21:D21"/>
  </mergeCells>
  <phoneticPr fontId="3" type="noConversion"/>
  <dataValidations count="12">
    <dataValidation type="list" allowBlank="1" showInputMessage="1" showErrorMessage="1" error="Please only choose a department from the designated list" sqref="E86:E88" xr:uid="{00000000-0002-0000-0000-000000000000}">
      <formula1>Funding_Stream</formula1>
    </dataValidation>
    <dataValidation type="list" allowBlank="1" showInputMessage="1" showErrorMessage="1" sqref="F86:F88 F25:F42" xr:uid="{00000000-0002-0000-0000-000001000000}">
      <formula1>specialty</formula1>
    </dataValidation>
    <dataValidation allowBlank="1" showInputMessage="1" showErrorMessage="1" errorTitle="Not valid" sqref="I18:J18" xr:uid="{00000000-0002-0000-0000-000002000000}"/>
    <dataValidation type="list" allowBlank="1" showInputMessage="1" showErrorMessage="1" sqref="B78" xr:uid="{00000000-0002-0000-0000-000003000000}">
      <formula1>yesno</formula1>
    </dataValidation>
    <dataValidation type="list" allowBlank="1" showInputMessage="1" showErrorMessage="1" sqref="B79" xr:uid="{00000000-0002-0000-0000-000004000000}">
      <formula1>yespharm</formula1>
    </dataValidation>
    <dataValidation type="list" showInputMessage="1" showErrorMessage="1" error="Please only select from the list supplied. If you have another test not on the list please use cell A71" sqref="A56:A58" xr:uid="{00000000-0002-0000-0000-000005000000}">
      <formula1>image</formula1>
    </dataValidation>
    <dataValidation showInputMessage="1" showErrorMessage="1" sqref="A59" xr:uid="{00000000-0002-0000-0000-000006000000}"/>
    <dataValidation type="decimal" allowBlank="1" showInputMessage="1" showErrorMessage="1" errorTitle="Stop" error="This cell is only pre approved up to a value of £1000 per test. Please speak to the Network for approval over £1000_x000a_" sqref="D59" xr:uid="{00000000-0002-0000-0000-000007000000}">
      <formula1>0</formula1>
      <formula2>1000</formula2>
    </dataValidation>
    <dataValidation type="list" allowBlank="1" showInputMessage="1" showErrorMessage="1" error="Please select from list provided" sqref="E48:E52 E56:E59" xr:uid="{00000000-0002-0000-0000-000008000000}">
      <formula1>Funding_Stream</formula1>
    </dataValidation>
    <dataValidation type="list" allowBlank="1" showInputMessage="1" showErrorMessage="1" error="Please select from list provided" sqref="E78:E79" xr:uid="{00000000-0002-0000-0000-000009000000}">
      <formula1>Funding_Stream1</formula1>
    </dataValidation>
    <dataValidation type="list" allowBlank="1" showInputMessage="1" showErrorMessage="1" error="Please select from list provided" sqref="E74:E75" xr:uid="{00000000-0002-0000-0000-00000A000000}">
      <formula1>Funding_Stream2</formula1>
    </dataValidation>
    <dataValidation type="list" allowBlank="1" showInputMessage="1" showErrorMessage="1" error="Please choose only from the drop down list provided" sqref="E25:E42" xr:uid="{00000000-0002-0000-0000-00000B000000}">
      <formula1>Funding_Stream1</formula1>
    </dataValidation>
  </dataValidations>
  <pageMargins left="0.52" right="0.35" top="0.18" bottom="0.24" header="0.17" footer="0.16"/>
  <pageSetup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0"/>
  <sheetViews>
    <sheetView showZeros="0" workbookViewId="0">
      <selection activeCell="B14" sqref="B14"/>
    </sheetView>
  </sheetViews>
  <sheetFormatPr defaultRowHeight="12.75" x14ac:dyDescent="0.2"/>
  <cols>
    <col min="1" max="1" width="55.140625" customWidth="1"/>
    <col min="2" max="4" width="11.42578125" customWidth="1"/>
    <col min="5" max="5" width="18.42578125" customWidth="1"/>
    <col min="6" max="6" width="19.42578125" customWidth="1"/>
    <col min="7" max="7" width="11" customWidth="1"/>
    <col min="8" max="8" width="10" customWidth="1"/>
    <col min="9" max="9" width="11.28515625" customWidth="1"/>
    <col min="10" max="10" width="11.85546875" customWidth="1"/>
    <col min="11" max="11" width="15.85546875" customWidth="1"/>
    <col min="12" max="12" width="10.42578125" customWidth="1"/>
  </cols>
  <sheetData>
    <row r="1" spans="1:10" x14ac:dyDescent="0.2">
      <c r="G1" s="5" t="s">
        <v>174</v>
      </c>
      <c r="H1" s="75"/>
    </row>
    <row r="2" spans="1:10" x14ac:dyDescent="0.2">
      <c r="G2" s="7" t="s">
        <v>175</v>
      </c>
      <c r="H2" s="72"/>
    </row>
    <row r="3" spans="1:10" x14ac:dyDescent="0.2">
      <c r="G3" s="7" t="s">
        <v>176</v>
      </c>
      <c r="H3" s="72"/>
    </row>
    <row r="4" spans="1:10" x14ac:dyDescent="0.2">
      <c r="G4" s="7" t="s">
        <v>177</v>
      </c>
      <c r="H4" s="72"/>
    </row>
    <row r="5" spans="1:10" x14ac:dyDescent="0.2">
      <c r="G5" s="8" t="s">
        <v>178</v>
      </c>
      <c r="H5" s="73"/>
    </row>
    <row r="6" spans="1:10" ht="26.25" x14ac:dyDescent="0.4">
      <c r="B6" s="62" t="s">
        <v>241</v>
      </c>
    </row>
    <row r="7" spans="1:10" ht="25.5" x14ac:dyDescent="0.2">
      <c r="E7" s="1"/>
      <c r="F7" s="89"/>
      <c r="G7" s="128" t="s">
        <v>242</v>
      </c>
    </row>
    <row r="8" spans="1:10" x14ac:dyDescent="0.2">
      <c r="F8" s="35" t="s">
        <v>190</v>
      </c>
      <c r="G8" s="41">
        <f>SUM(F24:F42)</f>
        <v>0</v>
      </c>
    </row>
    <row r="9" spans="1:10" ht="13.5" thickBot="1" x14ac:dyDescent="0.25">
      <c r="D9" s="1"/>
      <c r="E9" s="1"/>
      <c r="F9" s="35" t="s">
        <v>191</v>
      </c>
      <c r="G9" s="40">
        <f>SUM(F48:F59)</f>
        <v>0</v>
      </c>
    </row>
    <row r="10" spans="1:10" x14ac:dyDescent="0.2">
      <c r="A10" s="78" t="s">
        <v>180</v>
      </c>
      <c r="B10" s="120">
        <f>Template!B11</f>
        <v>0</v>
      </c>
      <c r="C10" s="121"/>
      <c r="D10" s="122"/>
      <c r="E10" s="1"/>
      <c r="F10" s="35" t="s">
        <v>193</v>
      </c>
      <c r="G10" s="40">
        <f>SUM(F64:F65)</f>
        <v>0</v>
      </c>
    </row>
    <row r="11" spans="1:10" x14ac:dyDescent="0.2">
      <c r="A11" s="117" t="s">
        <v>0</v>
      </c>
      <c r="B11" s="123">
        <f>Template!B12</f>
        <v>0</v>
      </c>
      <c r="C11" s="119"/>
      <c r="D11" s="124"/>
      <c r="E11" s="1"/>
      <c r="F11" s="55" t="s">
        <v>194</v>
      </c>
      <c r="G11" s="40">
        <f>SUM(F73:F75)</f>
        <v>0</v>
      </c>
    </row>
    <row r="12" spans="1:10" ht="51" x14ac:dyDescent="0.2">
      <c r="A12" s="104" t="s">
        <v>220</v>
      </c>
      <c r="B12" s="123">
        <f>Template!B13</f>
        <v>0</v>
      </c>
      <c r="C12" s="119"/>
      <c r="D12" s="124"/>
      <c r="E12" s="1"/>
      <c r="F12" s="86" t="s">
        <v>179</v>
      </c>
      <c r="G12" s="42">
        <f>SUM(G8:G11)</f>
        <v>0</v>
      </c>
    </row>
    <row r="13" spans="1:10" x14ac:dyDescent="0.2">
      <c r="A13" s="117" t="s">
        <v>222</v>
      </c>
      <c r="B13" s="123">
        <f>Template!B14</f>
        <v>0</v>
      </c>
      <c r="C13" s="119"/>
      <c r="D13" s="124"/>
      <c r="F13" s="53"/>
      <c r="G13" s="1"/>
      <c r="H13" s="1"/>
      <c r="I13" s="76"/>
      <c r="J13" s="76"/>
    </row>
    <row r="14" spans="1:10" x14ac:dyDescent="0.2">
      <c r="A14" s="117" t="s">
        <v>136</v>
      </c>
      <c r="B14" s="123">
        <f>Template!B15</f>
        <v>0</v>
      </c>
      <c r="C14" s="119"/>
      <c r="D14" s="124"/>
      <c r="F14" s="130" t="s">
        <v>245</v>
      </c>
      <c r="G14" s="131">
        <f>G12*B20</f>
        <v>0</v>
      </c>
    </row>
    <row r="15" spans="1:10" x14ac:dyDescent="0.2">
      <c r="A15" s="117" t="s">
        <v>1</v>
      </c>
      <c r="B15" s="123">
        <f>Template!B16</f>
        <v>0</v>
      </c>
      <c r="C15" s="119"/>
      <c r="D15" s="124"/>
    </row>
    <row r="16" spans="1:10" x14ac:dyDescent="0.2">
      <c r="A16" s="117" t="s">
        <v>2</v>
      </c>
      <c r="B16" s="123">
        <f>Template!B17</f>
        <v>0</v>
      </c>
      <c r="C16" s="119"/>
      <c r="D16" s="124"/>
    </row>
    <row r="17" spans="1:6" x14ac:dyDescent="0.2">
      <c r="A17" s="117" t="s">
        <v>149</v>
      </c>
      <c r="B17" s="123">
        <f>Template!B18</f>
        <v>0</v>
      </c>
      <c r="C17" s="119"/>
      <c r="D17" s="124"/>
    </row>
    <row r="18" spans="1:6" x14ac:dyDescent="0.2">
      <c r="A18" s="118" t="s">
        <v>219</v>
      </c>
      <c r="B18" s="123">
        <f>Template!B19</f>
        <v>0</v>
      </c>
      <c r="C18" s="119"/>
      <c r="D18" s="124"/>
    </row>
    <row r="19" spans="1:6" ht="12.75" customHeight="1" x14ac:dyDescent="0.2">
      <c r="A19" s="118" t="s">
        <v>221</v>
      </c>
      <c r="B19" s="123">
        <f>Template!B20</f>
        <v>0</v>
      </c>
      <c r="C19" s="119"/>
      <c r="D19" s="124"/>
    </row>
    <row r="20" spans="1:6" ht="13.5" thickBot="1" x14ac:dyDescent="0.25">
      <c r="A20" s="109" t="s">
        <v>240</v>
      </c>
      <c r="B20" s="125"/>
      <c r="C20" s="126"/>
      <c r="D20" s="127"/>
    </row>
    <row r="22" spans="1:6" ht="25.5" x14ac:dyDescent="0.2">
      <c r="A22" s="65" t="s">
        <v>212</v>
      </c>
      <c r="B22" s="38" t="s">
        <v>5</v>
      </c>
      <c r="C22" s="38" t="s">
        <v>3</v>
      </c>
      <c r="D22" s="38" t="s">
        <v>4</v>
      </c>
      <c r="E22" s="38" t="s">
        <v>107</v>
      </c>
      <c r="F22" s="46" t="str">
        <f>G7</f>
        <v>Cost saving per patient</v>
      </c>
    </row>
    <row r="23" spans="1:6" x14ac:dyDescent="0.2">
      <c r="A23" s="39" t="s">
        <v>209</v>
      </c>
      <c r="B23" s="148" t="s">
        <v>103</v>
      </c>
      <c r="C23" s="148"/>
      <c r="D23" s="148"/>
      <c r="E23" s="45"/>
      <c r="F23" s="45"/>
    </row>
    <row r="24" spans="1:6" x14ac:dyDescent="0.2">
      <c r="A24" s="105"/>
      <c r="B24" s="55"/>
      <c r="C24" s="55"/>
      <c r="D24" s="55"/>
      <c r="E24" s="55"/>
      <c r="F24" s="41">
        <f>$B24/60*Pricelist!$C$13+$C24/60*Pricelist!$C$14+$D24/60*Pricelist!$C$15</f>
        <v>0</v>
      </c>
    </row>
    <row r="25" spans="1:6" x14ac:dyDescent="0.2">
      <c r="A25" s="105"/>
      <c r="B25" s="55"/>
      <c r="C25" s="55"/>
      <c r="D25" s="55"/>
      <c r="E25" s="55"/>
      <c r="F25" s="40">
        <f>$B25/60*Pricelist!$C$13+$C25/60*Pricelist!$C$14+$D25/60*Pricelist!$C$15</f>
        <v>0</v>
      </c>
    </row>
    <row r="26" spans="1:6" x14ac:dyDescent="0.2">
      <c r="A26" s="105"/>
      <c r="B26" s="55"/>
      <c r="C26" s="55"/>
      <c r="D26" s="55"/>
      <c r="E26" s="55"/>
      <c r="F26" s="40">
        <f>$B26/60*Pricelist!$C$13+$C26/60*Pricelist!$C$14+$D26/60*Pricelist!$C$15</f>
        <v>0</v>
      </c>
    </row>
    <row r="27" spans="1:6" x14ac:dyDescent="0.2">
      <c r="A27" s="105"/>
      <c r="B27" s="55"/>
      <c r="C27" s="55"/>
      <c r="D27" s="55"/>
      <c r="E27" s="55"/>
      <c r="F27" s="40">
        <f>$B27/60*Pricelist!$C$13+$C27/60*Pricelist!$C$14+$D27/60*Pricelist!$C$15</f>
        <v>0</v>
      </c>
    </row>
    <row r="28" spans="1:6" x14ac:dyDescent="0.2">
      <c r="A28" s="105"/>
      <c r="B28" s="55"/>
      <c r="C28" s="55"/>
      <c r="D28" s="55"/>
      <c r="E28" s="55"/>
      <c r="F28" s="40">
        <f>$B28/60*Pricelist!$C$13+$C28/60*Pricelist!$C$14+$D28/60*Pricelist!$C$15</f>
        <v>0</v>
      </c>
    </row>
    <row r="29" spans="1:6" x14ac:dyDescent="0.2">
      <c r="A29" s="105" t="s">
        <v>239</v>
      </c>
      <c r="B29" s="55"/>
      <c r="C29" s="55"/>
      <c r="D29" s="55"/>
      <c r="E29" s="55"/>
      <c r="F29" s="40">
        <f>$B29/60*Pricelist!$C$13+$C29/60*Pricelist!$C$14+$D29/60*Pricelist!$C$15</f>
        <v>0</v>
      </c>
    </row>
    <row r="30" spans="1:6" x14ac:dyDescent="0.2">
      <c r="B30" s="55"/>
      <c r="C30" s="55"/>
      <c r="D30" s="55"/>
      <c r="E30" s="55"/>
      <c r="F30" s="40">
        <f>$B30/60*Pricelist!$C$13+$C30/60*Pricelist!$C$14+$D30/60*Pricelist!$C$15</f>
        <v>0</v>
      </c>
    </row>
    <row r="31" spans="1:6" x14ac:dyDescent="0.2">
      <c r="A31" s="105"/>
      <c r="B31" s="55"/>
      <c r="C31" s="55"/>
      <c r="D31" s="55"/>
      <c r="E31" s="55"/>
      <c r="F31" s="40">
        <f>$B31/60*Pricelist!$C$13+$C31/60*Pricelist!$C$14+$D31/60*Pricelist!$C$15</f>
        <v>0</v>
      </c>
    </row>
    <row r="32" spans="1:6" x14ac:dyDescent="0.2">
      <c r="A32" s="105"/>
      <c r="B32" s="55"/>
      <c r="C32" s="55"/>
      <c r="D32" s="55"/>
      <c r="E32" s="55"/>
      <c r="F32" s="40">
        <f>$B32/60*Pricelist!$C$13+$C32/60*Pricelist!$C$14+$D32/60*Pricelist!$C$15</f>
        <v>0</v>
      </c>
    </row>
    <row r="33" spans="1:6" x14ac:dyDescent="0.2">
      <c r="A33" s="84"/>
      <c r="B33" s="55"/>
      <c r="C33" s="55"/>
      <c r="D33" s="55"/>
      <c r="E33" s="55"/>
      <c r="F33" s="40">
        <f>$B33/60*Pricelist!$C$13+$C33/60*Pricelist!$C$14+$D33/60*Pricelist!$C$15</f>
        <v>0</v>
      </c>
    </row>
    <row r="34" spans="1:6" x14ac:dyDescent="0.2">
      <c r="A34" s="84"/>
      <c r="B34" s="55"/>
      <c r="C34" s="55"/>
      <c r="D34" s="55"/>
      <c r="E34" s="55"/>
      <c r="F34" s="40">
        <f>$B34/60*Pricelist!$C$13+$C34/60*Pricelist!$C$14+$D34/60*Pricelist!$C$15</f>
        <v>0</v>
      </c>
    </row>
    <row r="35" spans="1:6" x14ac:dyDescent="0.2">
      <c r="A35" s="84"/>
      <c r="B35" s="55"/>
      <c r="C35" s="55"/>
      <c r="D35" s="55"/>
      <c r="E35" s="55"/>
      <c r="F35" s="40">
        <f>$B35/60*Pricelist!$C$13+$C35/60*Pricelist!$C$14+$D35/60*Pricelist!$C$15</f>
        <v>0</v>
      </c>
    </row>
    <row r="36" spans="1:6" x14ac:dyDescent="0.2">
      <c r="A36" s="84"/>
      <c r="B36" s="55"/>
      <c r="C36" s="55"/>
      <c r="D36" s="55"/>
      <c r="E36" s="55"/>
      <c r="F36" s="40">
        <f>$B36/60*Pricelist!$C$13+$C36/60*Pricelist!$C$14+$D36/60*Pricelist!$C$15</f>
        <v>0</v>
      </c>
    </row>
    <row r="37" spans="1:6" x14ac:dyDescent="0.2">
      <c r="A37" s="84"/>
      <c r="B37" s="55"/>
      <c r="C37" s="55"/>
      <c r="D37" s="55"/>
      <c r="E37" s="55"/>
      <c r="F37" s="40">
        <f>$B37/60*Pricelist!$C$13+$C37/60*Pricelist!$C$14+$D37/60*Pricelist!$C$15</f>
        <v>0</v>
      </c>
    </row>
    <row r="38" spans="1:6" x14ac:dyDescent="0.2">
      <c r="A38" s="84"/>
      <c r="B38" s="55"/>
      <c r="C38" s="55"/>
      <c r="D38" s="55"/>
      <c r="E38" s="55"/>
      <c r="F38" s="40">
        <f>$B38/60*Pricelist!$C$13+$C38/60*Pricelist!$C$14+$D38/60*Pricelist!$C$15</f>
        <v>0</v>
      </c>
    </row>
    <row r="39" spans="1:6" x14ac:dyDescent="0.2">
      <c r="A39" s="84"/>
      <c r="B39" s="55"/>
      <c r="C39" s="55"/>
      <c r="D39" s="55"/>
      <c r="E39" s="55"/>
      <c r="F39" s="40">
        <f>$B39/60*Pricelist!$C$13+$C39/60*Pricelist!$C$14+$D39/60*Pricelist!$C$15</f>
        <v>0</v>
      </c>
    </row>
    <row r="40" spans="1:6" x14ac:dyDescent="0.2">
      <c r="A40" s="84"/>
      <c r="B40" s="55"/>
      <c r="C40" s="55"/>
      <c r="D40" s="55"/>
      <c r="E40" s="55"/>
      <c r="F40" s="40">
        <f>$B40/60*Pricelist!$C$13+$C40/60*Pricelist!$C$14+$D40/60*Pricelist!$C$15</f>
        <v>0</v>
      </c>
    </row>
    <row r="41" spans="1:6" x14ac:dyDescent="0.2">
      <c r="A41" s="84"/>
      <c r="B41" s="55"/>
      <c r="C41" s="55"/>
      <c r="D41" s="55"/>
      <c r="E41" s="55"/>
      <c r="F41" s="40">
        <f>$B41/60*Pricelist!$C$13+$C41/60*Pricelist!$C$14+$D41/60*Pricelist!$C$15</f>
        <v>0</v>
      </c>
    </row>
    <row r="42" spans="1:6" x14ac:dyDescent="0.2">
      <c r="A42" s="85"/>
      <c r="B42" s="86"/>
      <c r="C42" s="86"/>
      <c r="D42" s="86"/>
      <c r="E42" s="86"/>
      <c r="F42" s="42">
        <f>$B42/60*Pricelist!$C$13+$C42/60*Pricelist!$C$14+$D42/60*Pricelist!$C$15</f>
        <v>0</v>
      </c>
    </row>
    <row r="44" spans="1:6" x14ac:dyDescent="0.2">
      <c r="D44" s="57"/>
    </row>
    <row r="46" spans="1:6" ht="38.25" x14ac:dyDescent="0.2">
      <c r="A46" s="66" t="s">
        <v>93</v>
      </c>
      <c r="B46" s="45"/>
      <c r="C46" s="46" t="s">
        <v>96</v>
      </c>
      <c r="D46" s="46" t="s">
        <v>173</v>
      </c>
      <c r="E46" s="46"/>
      <c r="F46" s="46" t="str">
        <f>F22</f>
        <v>Cost saving per patient</v>
      </c>
    </row>
    <row r="47" spans="1:6" x14ac:dyDescent="0.2">
      <c r="A47" s="7" t="s">
        <v>94</v>
      </c>
      <c r="B47" s="51"/>
      <c r="C47" s="51"/>
      <c r="D47" s="51"/>
      <c r="E47" s="51"/>
      <c r="F47" s="51"/>
    </row>
    <row r="48" spans="1:6" x14ac:dyDescent="0.2">
      <c r="A48" s="7" t="s">
        <v>95</v>
      </c>
      <c r="B48" s="50"/>
      <c r="C48" s="43"/>
      <c r="D48" s="70">
        <f>Pricelist!C69</f>
        <v>1</v>
      </c>
      <c r="E48" s="50"/>
      <c r="F48" s="40">
        <f>$C48*$D48</f>
        <v>0</v>
      </c>
    </row>
    <row r="49" spans="1:6" x14ac:dyDescent="0.2">
      <c r="A49" s="7" t="s">
        <v>106</v>
      </c>
      <c r="B49" s="50"/>
      <c r="C49" s="43"/>
      <c r="D49" s="70">
        <f>Pricelist!C65</f>
        <v>3</v>
      </c>
      <c r="E49" s="50"/>
      <c r="F49" s="40">
        <f t="shared" ref="F49:F52" si="0">$C49*$D49</f>
        <v>0</v>
      </c>
    </row>
    <row r="50" spans="1:6" x14ac:dyDescent="0.2">
      <c r="A50" s="7" t="s">
        <v>15</v>
      </c>
      <c r="B50" s="50"/>
      <c r="C50" s="43"/>
      <c r="D50" s="70">
        <f>Pricelist!C66</f>
        <v>33</v>
      </c>
      <c r="E50" s="50"/>
      <c r="F50" s="40">
        <f t="shared" si="0"/>
        <v>0</v>
      </c>
    </row>
    <row r="51" spans="1:6" x14ac:dyDescent="0.2">
      <c r="A51" s="7" t="s">
        <v>18</v>
      </c>
      <c r="B51" s="50"/>
      <c r="C51" s="43"/>
      <c r="D51" s="70">
        <f>Pricelist!C67</f>
        <v>6</v>
      </c>
      <c r="E51" s="50"/>
      <c r="F51" s="40">
        <f t="shared" si="0"/>
        <v>0</v>
      </c>
    </row>
    <row r="52" spans="1:6" x14ac:dyDescent="0.2">
      <c r="A52" s="7" t="s">
        <v>17</v>
      </c>
      <c r="B52" s="50"/>
      <c r="C52" s="43"/>
      <c r="D52" s="70">
        <f>Pricelist!C68</f>
        <v>8</v>
      </c>
      <c r="E52" s="50"/>
      <c r="F52" s="40">
        <f t="shared" si="0"/>
        <v>0</v>
      </c>
    </row>
    <row r="53" spans="1:6" x14ac:dyDescent="0.2">
      <c r="A53" s="7"/>
      <c r="B53" s="50"/>
      <c r="C53" s="50"/>
      <c r="D53" s="50"/>
      <c r="E53" s="50">
        <v>0</v>
      </c>
      <c r="F53" s="50"/>
    </row>
    <row r="54" spans="1:6" x14ac:dyDescent="0.2">
      <c r="A54" s="7" t="s">
        <v>119</v>
      </c>
      <c r="B54" s="50"/>
      <c r="C54" s="50"/>
      <c r="D54" s="50"/>
      <c r="E54" s="50"/>
      <c r="F54" s="50"/>
    </row>
    <row r="55" spans="1:6" x14ac:dyDescent="0.2">
      <c r="A55" s="7" t="s">
        <v>108</v>
      </c>
      <c r="B55" s="50"/>
      <c r="C55" s="50"/>
      <c r="D55" s="50"/>
      <c r="E55" s="50"/>
      <c r="F55" s="50"/>
    </row>
    <row r="56" spans="1:6" x14ac:dyDescent="0.2">
      <c r="A56" s="49" t="s">
        <v>98</v>
      </c>
      <c r="B56" s="50"/>
      <c r="C56" s="43"/>
      <c r="D56" s="40">
        <f>VLOOKUP(A56,Pricelist!B$25:C$62,2,FALSE)</f>
        <v>0</v>
      </c>
      <c r="E56" s="50"/>
      <c r="F56" s="40">
        <f t="shared" ref="F56:F59" si="1">$C56*$D56</f>
        <v>0</v>
      </c>
    </row>
    <row r="57" spans="1:6" x14ac:dyDescent="0.2">
      <c r="A57" s="49" t="s">
        <v>98</v>
      </c>
      <c r="B57" s="50"/>
      <c r="C57" s="43"/>
      <c r="D57" s="40">
        <f>VLOOKUP(A57,Pricelist!B$26:C$62,2,FALSE)</f>
        <v>0</v>
      </c>
      <c r="E57" s="50"/>
      <c r="F57" s="40">
        <f t="shared" si="1"/>
        <v>0</v>
      </c>
    </row>
    <row r="58" spans="1:6" x14ac:dyDescent="0.2">
      <c r="A58" s="58" t="s">
        <v>98</v>
      </c>
      <c r="B58" s="50"/>
      <c r="C58" s="43"/>
      <c r="D58" s="40">
        <f>VLOOKUP(A58,Pricelist!B$26:C$62,2,FALSE)</f>
        <v>0</v>
      </c>
      <c r="E58" s="50"/>
      <c r="F58" s="40">
        <f t="shared" si="1"/>
        <v>0</v>
      </c>
    </row>
    <row r="59" spans="1:6" x14ac:dyDescent="0.2">
      <c r="A59" s="59" t="s">
        <v>146</v>
      </c>
      <c r="B59" s="52"/>
      <c r="C59" s="44"/>
      <c r="D59" s="60"/>
      <c r="E59" s="52"/>
      <c r="F59" s="42">
        <f t="shared" si="1"/>
        <v>0</v>
      </c>
    </row>
    <row r="62" spans="1:6" ht="51" x14ac:dyDescent="0.2">
      <c r="A62" s="66" t="s">
        <v>104</v>
      </c>
      <c r="B62" s="46" t="s">
        <v>126</v>
      </c>
      <c r="C62" s="46" t="s">
        <v>121</v>
      </c>
      <c r="D62" s="46" t="s">
        <v>122</v>
      </c>
      <c r="E62" s="46"/>
      <c r="F62" s="46" t="str">
        <f>F46</f>
        <v>Cost saving per patient</v>
      </c>
    </row>
    <row r="63" spans="1:6" x14ac:dyDescent="0.2">
      <c r="A63" s="39" t="s">
        <v>105</v>
      </c>
      <c r="B63" s="45"/>
      <c r="C63" s="161"/>
      <c r="D63" s="162"/>
      <c r="E63" s="45"/>
      <c r="F63" s="45"/>
    </row>
    <row r="64" spans="1:6" x14ac:dyDescent="0.2">
      <c r="A64" s="7" t="s">
        <v>129</v>
      </c>
      <c r="B64" s="50"/>
      <c r="C64" s="35"/>
      <c r="D64" s="40">
        <f>C64*Pricelist!C81</f>
        <v>0</v>
      </c>
      <c r="E64" s="51"/>
      <c r="F64" s="41">
        <f>$C64*Pricelist!$C81</f>
        <v>0</v>
      </c>
    </row>
    <row r="65" spans="1:9" x14ac:dyDescent="0.2">
      <c r="A65" s="7" t="s">
        <v>130</v>
      </c>
      <c r="B65" s="50"/>
      <c r="C65" s="55"/>
      <c r="D65" s="40">
        <f>C65*Pricelist!C82</f>
        <v>0</v>
      </c>
      <c r="E65" s="50"/>
      <c r="F65" s="40">
        <f>$C65*Pricelist!$C82</f>
        <v>0</v>
      </c>
    </row>
    <row r="66" spans="1:9" x14ac:dyDescent="0.2">
      <c r="A66" s="7" t="s">
        <v>234</v>
      </c>
      <c r="B66" s="50"/>
      <c r="C66" s="50"/>
      <c r="D66" s="55"/>
      <c r="E66" s="50"/>
      <c r="F66" s="50"/>
    </row>
    <row r="67" spans="1:9" x14ac:dyDescent="0.2">
      <c r="A67" s="7" t="s">
        <v>182</v>
      </c>
      <c r="B67" s="50"/>
      <c r="C67" s="50"/>
      <c r="D67" s="55"/>
      <c r="E67" s="50"/>
      <c r="F67" s="50"/>
    </row>
    <row r="68" spans="1:9" x14ac:dyDescent="0.2">
      <c r="A68" s="7" t="s">
        <v>124</v>
      </c>
      <c r="B68" s="35"/>
      <c r="C68" s="50"/>
      <c r="D68" s="79">
        <f>IF(B68="yes",Pricelist!C83,0)</f>
        <v>0</v>
      </c>
      <c r="E68" s="50"/>
      <c r="F68" s="40">
        <f>$C68*Pricelist!$C85</f>
        <v>0</v>
      </c>
    </row>
    <row r="69" spans="1:9" x14ac:dyDescent="0.2">
      <c r="A69" s="8" t="s">
        <v>120</v>
      </c>
      <c r="B69" s="36"/>
      <c r="C69" s="52"/>
      <c r="D69" s="80">
        <f>IF(B69="yes low",Pricelist!C84,IF(B69="yes medium",Pricelist!C85,IF(B69="yes high",Pricelist!C86,0)))</f>
        <v>0</v>
      </c>
      <c r="E69" s="52"/>
      <c r="F69" s="42">
        <f>$C69*Pricelist!$C86</f>
        <v>0</v>
      </c>
    </row>
    <row r="72" spans="1:9" ht="38.25" x14ac:dyDescent="0.2">
      <c r="A72" s="66" t="s">
        <v>99</v>
      </c>
      <c r="B72" s="45"/>
      <c r="C72" s="47" t="s">
        <v>102</v>
      </c>
      <c r="D72" s="48" t="s">
        <v>97</v>
      </c>
      <c r="E72" s="38" t="s">
        <v>107</v>
      </c>
      <c r="F72" s="46" t="str">
        <f>F62</f>
        <v>Cost saving per patient</v>
      </c>
    </row>
    <row r="73" spans="1:9" x14ac:dyDescent="0.2">
      <c r="A73" s="35" t="s">
        <v>247</v>
      </c>
      <c r="B73" s="50"/>
      <c r="C73" s="35"/>
      <c r="D73" s="70">
        <f>Pricelist!C75</f>
        <v>742</v>
      </c>
      <c r="E73" s="91"/>
      <c r="F73" s="41">
        <f>$C73*$D73</f>
        <v>0</v>
      </c>
    </row>
    <row r="74" spans="1:9" x14ac:dyDescent="0.2">
      <c r="A74" s="35" t="s">
        <v>100</v>
      </c>
      <c r="B74" s="50"/>
      <c r="C74" s="35"/>
      <c r="D74" s="70">
        <f>Pricelist!C73</f>
        <v>46.07</v>
      </c>
      <c r="E74" s="55"/>
      <c r="F74" s="40">
        <f t="shared" ref="F74:F75" si="2">$C74*$D74</f>
        <v>0</v>
      </c>
    </row>
    <row r="75" spans="1:9" x14ac:dyDescent="0.2">
      <c r="A75" s="36" t="s">
        <v>101</v>
      </c>
      <c r="B75" s="52"/>
      <c r="C75" s="36"/>
      <c r="D75" s="71">
        <f>Pricelist!C74</f>
        <v>742</v>
      </c>
      <c r="E75" s="86"/>
      <c r="F75" s="42">
        <f t="shared" si="2"/>
        <v>0</v>
      </c>
    </row>
    <row r="78" spans="1:9" x14ac:dyDescent="0.2">
      <c r="A78" s="37" t="s">
        <v>111</v>
      </c>
      <c r="B78" s="53"/>
      <c r="C78" s="53"/>
      <c r="D78" s="53"/>
      <c r="E78" s="53"/>
      <c r="F78" s="53"/>
      <c r="G78" s="53"/>
      <c r="H78" s="53"/>
      <c r="I78" s="6"/>
    </row>
    <row r="79" spans="1:9" x14ac:dyDescent="0.2">
      <c r="A79" s="106"/>
      <c r="B79" s="9"/>
      <c r="C79" s="9"/>
      <c r="D79" s="9"/>
      <c r="E79" s="9"/>
      <c r="F79" s="9"/>
      <c r="G79" s="9"/>
      <c r="H79" s="9"/>
      <c r="I79" s="10"/>
    </row>
    <row r="80" spans="1:9" x14ac:dyDescent="0.2">
      <c r="A80" s="107"/>
      <c r="I80" s="1"/>
    </row>
  </sheetData>
  <mergeCells count="2">
    <mergeCell ref="C63:D63"/>
    <mergeCell ref="B23:D23"/>
  </mergeCells>
  <dataValidations count="6">
    <dataValidation type="decimal" allowBlank="1" showInputMessage="1" showErrorMessage="1" errorTitle="Stop" error="This cell is only pre approved up to a value of £1000 per test. Please speak to the Network for approval over £1000_x000a_" sqref="D59" xr:uid="{00000000-0002-0000-0100-000000000000}">
      <formula1>0</formula1>
      <formula2>1000</formula2>
    </dataValidation>
    <dataValidation showInputMessage="1" showErrorMessage="1" sqref="A59" xr:uid="{00000000-0002-0000-0100-000001000000}"/>
    <dataValidation type="list" showInputMessage="1" showErrorMessage="1" error="Please only select from the list supplied. If you have another test not on the list please use cell A71" sqref="A56:A58" xr:uid="{00000000-0002-0000-0100-000002000000}">
      <formula1>image</formula1>
    </dataValidation>
    <dataValidation type="list" allowBlank="1" showInputMessage="1" showErrorMessage="1" sqref="B69" xr:uid="{00000000-0002-0000-0100-000003000000}">
      <formula1>yespharm</formula1>
    </dataValidation>
    <dataValidation type="list" allowBlank="1" showInputMessage="1" showErrorMessage="1" sqref="B68" xr:uid="{00000000-0002-0000-0100-000004000000}">
      <formula1>yesno</formula1>
    </dataValidation>
    <dataValidation type="list" allowBlank="1" showInputMessage="1" showErrorMessage="1" sqref="E73:E75 E24:E42" xr:uid="{00000000-0002-0000-0100-000005000000}">
      <formula1>specialty</formula1>
    </dataValidation>
  </dataValidations>
  <pageMargins left="0.52" right="0.35" top="0.18" bottom="0.24" header="0.17" footer="0.16"/>
  <pageSetup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2:L95"/>
  <sheetViews>
    <sheetView topLeftCell="A26" workbookViewId="0">
      <selection activeCell="I84" sqref="I84"/>
    </sheetView>
  </sheetViews>
  <sheetFormatPr defaultRowHeight="12.75" x14ac:dyDescent="0.2"/>
  <cols>
    <col min="2" max="2" width="55.42578125" customWidth="1"/>
  </cols>
  <sheetData>
    <row r="2" spans="1:12" x14ac:dyDescent="0.2">
      <c r="A2" s="11"/>
    </row>
    <row r="9" spans="1:12" ht="20.25" x14ac:dyDescent="0.3">
      <c r="B9" s="12" t="s">
        <v>228</v>
      </c>
    </row>
    <row r="10" spans="1:12" ht="15.75" x14ac:dyDescent="0.25">
      <c r="A10" s="13" t="s">
        <v>54</v>
      </c>
      <c r="E10" s="56" t="s">
        <v>127</v>
      </c>
      <c r="F10" t="s">
        <v>128</v>
      </c>
      <c r="G10" t="s">
        <v>202</v>
      </c>
      <c r="H10" t="s">
        <v>156</v>
      </c>
      <c r="I10" s="129" t="s">
        <v>243</v>
      </c>
    </row>
    <row r="11" spans="1:12" ht="15.75" x14ac:dyDescent="0.25">
      <c r="A11" s="13"/>
      <c r="K11" t="s">
        <v>203</v>
      </c>
    </row>
    <row r="12" spans="1:12" x14ac:dyDescent="0.2">
      <c r="B12" s="14" t="s">
        <v>55</v>
      </c>
      <c r="C12" s="6"/>
    </row>
    <row r="13" spans="1:12" x14ac:dyDescent="0.2">
      <c r="B13" s="7" t="s">
        <v>56</v>
      </c>
      <c r="C13" s="94">
        <f>I13</f>
        <v>72.599999999999994</v>
      </c>
      <c r="E13" s="57">
        <v>60</v>
      </c>
      <c r="F13" s="57">
        <f>ROUND(E13*1.027,2)</f>
        <v>61.62</v>
      </c>
      <c r="G13">
        <v>61.62</v>
      </c>
      <c r="H13" s="57">
        <f>G13*1.13</f>
        <v>69.630599999999987</v>
      </c>
      <c r="I13" s="57">
        <v>72.599999999999994</v>
      </c>
      <c r="J13" t="s">
        <v>229</v>
      </c>
      <c r="K13" s="57">
        <f>C13/6</f>
        <v>12.1</v>
      </c>
    </row>
    <row r="14" spans="1:12" x14ac:dyDescent="0.2">
      <c r="B14" s="7" t="s">
        <v>57</v>
      </c>
      <c r="C14" s="94">
        <f>I14</f>
        <v>23.82</v>
      </c>
      <c r="E14" s="57">
        <v>19.084134615384617</v>
      </c>
      <c r="F14" s="57">
        <v>20.7</v>
      </c>
      <c r="G14" s="99">
        <v>21.38</v>
      </c>
      <c r="H14" s="57">
        <f>G14*1.13</f>
        <v>24.159399999999998</v>
      </c>
      <c r="I14" s="57">
        <v>23.82</v>
      </c>
      <c r="J14" t="s">
        <v>200</v>
      </c>
      <c r="K14" s="57">
        <f>C14/6</f>
        <v>3.97</v>
      </c>
      <c r="L14" s="99"/>
    </row>
    <row r="15" spans="1:12" x14ac:dyDescent="0.2">
      <c r="B15" s="7" t="s">
        <v>58</v>
      </c>
      <c r="C15" s="94">
        <f>I15</f>
        <v>14.97</v>
      </c>
      <c r="E15" s="57">
        <v>12.079807692307693</v>
      </c>
      <c r="F15" s="57">
        <v>13.14</v>
      </c>
      <c r="G15" s="99">
        <v>13.47</v>
      </c>
      <c r="H15" s="57">
        <f>G15*1.13</f>
        <v>15.2211</v>
      </c>
      <c r="I15" s="57">
        <v>14.97</v>
      </c>
      <c r="J15" t="s">
        <v>201</v>
      </c>
      <c r="L15" s="99"/>
    </row>
    <row r="16" spans="1:12" x14ac:dyDescent="0.2">
      <c r="B16" s="7"/>
      <c r="C16" s="15"/>
      <c r="E16" s="57"/>
      <c r="F16" s="57"/>
    </row>
    <row r="17" spans="1:9" x14ac:dyDescent="0.2">
      <c r="B17" s="16" t="s">
        <v>59</v>
      </c>
      <c r="C17" s="15"/>
      <c r="E17" s="57"/>
      <c r="F17" s="57"/>
    </row>
    <row r="18" spans="1:9" x14ac:dyDescent="0.2">
      <c r="B18" s="7" t="s">
        <v>60</v>
      </c>
      <c r="C18" s="15"/>
      <c r="E18" s="57"/>
      <c r="F18" s="57"/>
    </row>
    <row r="19" spans="1:9" x14ac:dyDescent="0.2">
      <c r="B19" s="17" t="s">
        <v>61</v>
      </c>
      <c r="C19" s="15"/>
      <c r="E19" s="57"/>
      <c r="F19" s="57"/>
    </row>
    <row r="20" spans="1:9" x14ac:dyDescent="0.2">
      <c r="B20" s="17" t="s">
        <v>62</v>
      </c>
      <c r="C20" s="15"/>
      <c r="E20" s="57"/>
      <c r="F20" s="57"/>
    </row>
    <row r="21" spans="1:9" x14ac:dyDescent="0.2">
      <c r="B21" s="18" t="s">
        <v>63</v>
      </c>
      <c r="C21" s="19"/>
      <c r="E21" s="57"/>
      <c r="F21" s="57"/>
    </row>
    <row r="22" spans="1:9" x14ac:dyDescent="0.2">
      <c r="D22" s="20"/>
    </row>
    <row r="23" spans="1:9" x14ac:dyDescent="0.2">
      <c r="D23" s="20"/>
    </row>
    <row r="24" spans="1:9" ht="15.75" x14ac:dyDescent="0.25">
      <c r="A24" s="13" t="s">
        <v>64</v>
      </c>
      <c r="D24" s="20"/>
    </row>
    <row r="25" spans="1:9" x14ac:dyDescent="0.2">
      <c r="D25" s="97" t="s">
        <v>196</v>
      </c>
      <c r="F25" t="s">
        <v>199</v>
      </c>
      <c r="G25" t="s">
        <v>198</v>
      </c>
      <c r="H25" t="s">
        <v>224</v>
      </c>
      <c r="I25" t="s">
        <v>244</v>
      </c>
    </row>
    <row r="26" spans="1:9" x14ac:dyDescent="0.2">
      <c r="B26" s="21" t="s">
        <v>98</v>
      </c>
      <c r="C26" s="22"/>
    </row>
    <row r="27" spans="1:9" x14ac:dyDescent="0.2">
      <c r="B27" s="21" t="s">
        <v>69</v>
      </c>
      <c r="C27" s="133">
        <v>139</v>
      </c>
      <c r="D27">
        <v>147</v>
      </c>
      <c r="H27">
        <v>136</v>
      </c>
      <c r="I27">
        <v>139</v>
      </c>
    </row>
    <row r="28" spans="1:9" x14ac:dyDescent="0.2">
      <c r="B28" s="23" t="s">
        <v>67</v>
      </c>
      <c r="C28" s="133">
        <v>55</v>
      </c>
      <c r="D28">
        <v>92</v>
      </c>
      <c r="H28">
        <v>93</v>
      </c>
      <c r="I28">
        <v>55</v>
      </c>
    </row>
    <row r="29" spans="1:9" x14ac:dyDescent="0.2">
      <c r="B29" s="24" t="s">
        <v>68</v>
      </c>
      <c r="C29" s="133">
        <v>79</v>
      </c>
      <c r="D29">
        <v>104</v>
      </c>
      <c r="H29">
        <v>121</v>
      </c>
      <c r="I29">
        <v>79</v>
      </c>
    </row>
    <row r="30" spans="1:9" x14ac:dyDescent="0.2">
      <c r="B30" s="24" t="s">
        <v>112</v>
      </c>
      <c r="C30" s="133">
        <v>25</v>
      </c>
      <c r="I30">
        <v>25</v>
      </c>
    </row>
    <row r="31" spans="1:9" x14ac:dyDescent="0.2">
      <c r="B31" s="17" t="s">
        <v>171</v>
      </c>
      <c r="C31" s="133">
        <v>169</v>
      </c>
      <c r="I31">
        <v>169</v>
      </c>
    </row>
    <row r="32" spans="1:9" x14ac:dyDescent="0.2">
      <c r="B32" s="24" t="s">
        <v>70</v>
      </c>
      <c r="C32" s="133">
        <v>77</v>
      </c>
      <c r="D32">
        <v>71</v>
      </c>
      <c r="H32">
        <v>59</v>
      </c>
      <c r="I32">
        <v>77</v>
      </c>
    </row>
    <row r="33" spans="2:10" x14ac:dyDescent="0.2">
      <c r="B33" s="24" t="s">
        <v>197</v>
      </c>
      <c r="C33" s="133">
        <v>108</v>
      </c>
      <c r="I33">
        <v>108</v>
      </c>
    </row>
    <row r="34" spans="2:10" x14ac:dyDescent="0.2">
      <c r="B34" s="61" t="s">
        <v>148</v>
      </c>
      <c r="C34" s="133">
        <v>250</v>
      </c>
      <c r="D34">
        <v>79</v>
      </c>
      <c r="H34">
        <v>84</v>
      </c>
      <c r="I34">
        <v>250</v>
      </c>
    </row>
    <row r="35" spans="2:10" x14ac:dyDescent="0.2">
      <c r="B35" s="24" t="s">
        <v>113</v>
      </c>
      <c r="C35" s="133">
        <v>746</v>
      </c>
      <c r="E35">
        <v>773</v>
      </c>
      <c r="H35">
        <v>773</v>
      </c>
      <c r="I35">
        <v>746</v>
      </c>
      <c r="J35" t="s">
        <v>225</v>
      </c>
    </row>
    <row r="36" spans="2:10" x14ac:dyDescent="0.2">
      <c r="B36" s="23" t="s">
        <v>114</v>
      </c>
      <c r="C36" s="133">
        <v>509</v>
      </c>
      <c r="D36">
        <v>412</v>
      </c>
      <c r="I36">
        <v>509</v>
      </c>
    </row>
    <row r="37" spans="2:10" x14ac:dyDescent="0.2">
      <c r="B37" s="23" t="s">
        <v>145</v>
      </c>
      <c r="C37" s="133">
        <v>642</v>
      </c>
      <c r="E37">
        <v>528</v>
      </c>
      <c r="H37">
        <v>842</v>
      </c>
      <c r="I37">
        <v>642</v>
      </c>
    </row>
    <row r="38" spans="2:10" x14ac:dyDescent="0.2">
      <c r="B38" s="23" t="s">
        <v>144</v>
      </c>
      <c r="C38" s="133">
        <v>121</v>
      </c>
      <c r="I38">
        <v>121</v>
      </c>
    </row>
    <row r="39" spans="2:10" x14ac:dyDescent="0.2">
      <c r="B39" s="23" t="s">
        <v>115</v>
      </c>
      <c r="C39" s="133">
        <v>205</v>
      </c>
      <c r="D39">
        <v>233</v>
      </c>
      <c r="H39">
        <v>186</v>
      </c>
      <c r="I39">
        <v>205</v>
      </c>
    </row>
    <row r="40" spans="2:10" x14ac:dyDescent="0.2">
      <c r="B40" s="24" t="s">
        <v>65</v>
      </c>
      <c r="C40" s="133">
        <v>165</v>
      </c>
      <c r="D40">
        <v>146</v>
      </c>
      <c r="H40">
        <v>137</v>
      </c>
      <c r="I40">
        <v>165</v>
      </c>
    </row>
    <row r="41" spans="2:10" x14ac:dyDescent="0.2">
      <c r="B41" s="23" t="s">
        <v>66</v>
      </c>
      <c r="C41" s="133">
        <v>159</v>
      </c>
      <c r="D41">
        <v>182</v>
      </c>
      <c r="H41">
        <v>162</v>
      </c>
      <c r="I41">
        <v>159</v>
      </c>
    </row>
    <row r="42" spans="2:10" x14ac:dyDescent="0.2">
      <c r="B42" s="17" t="s">
        <v>172</v>
      </c>
      <c r="C42" s="133">
        <v>79</v>
      </c>
      <c r="G42">
        <v>79</v>
      </c>
      <c r="I42">
        <v>79</v>
      </c>
    </row>
    <row r="43" spans="2:10" x14ac:dyDescent="0.2">
      <c r="B43" s="24" t="s">
        <v>77</v>
      </c>
      <c r="C43" s="133">
        <v>995</v>
      </c>
      <c r="I43">
        <v>995</v>
      </c>
    </row>
    <row r="44" spans="2:10" x14ac:dyDescent="0.2">
      <c r="B44" s="24" t="s">
        <v>116</v>
      </c>
      <c r="C44" s="133">
        <v>160</v>
      </c>
      <c r="D44">
        <v>146</v>
      </c>
      <c r="H44">
        <v>166</v>
      </c>
      <c r="I44">
        <v>160</v>
      </c>
      <c r="J44" t="s">
        <v>225</v>
      </c>
    </row>
    <row r="45" spans="2:10" x14ac:dyDescent="0.2">
      <c r="B45" s="24" t="s">
        <v>223</v>
      </c>
      <c r="C45" s="133">
        <v>30</v>
      </c>
      <c r="I45">
        <v>30</v>
      </c>
    </row>
    <row r="46" spans="2:10" x14ac:dyDescent="0.2">
      <c r="B46" s="24" t="s">
        <v>117</v>
      </c>
      <c r="C46" s="133">
        <v>191</v>
      </c>
      <c r="D46">
        <v>196</v>
      </c>
      <c r="H46">
        <v>188</v>
      </c>
      <c r="I46">
        <v>191</v>
      </c>
    </row>
    <row r="47" spans="2:10" x14ac:dyDescent="0.2">
      <c r="B47" s="24" t="s">
        <v>76</v>
      </c>
      <c r="C47" s="133">
        <v>150</v>
      </c>
      <c r="I47">
        <v>150</v>
      </c>
    </row>
    <row r="48" spans="2:10" x14ac:dyDescent="0.2">
      <c r="B48" s="24" t="s">
        <v>71</v>
      </c>
      <c r="C48" s="133">
        <v>51</v>
      </c>
      <c r="D48">
        <v>51</v>
      </c>
      <c r="H48">
        <v>54</v>
      </c>
      <c r="I48">
        <v>51</v>
      </c>
    </row>
    <row r="49" spans="1:10" x14ac:dyDescent="0.2">
      <c r="B49" s="24" t="s">
        <v>72</v>
      </c>
      <c r="C49" s="133">
        <v>64</v>
      </c>
      <c r="D49">
        <v>64</v>
      </c>
      <c r="H49">
        <v>61</v>
      </c>
      <c r="I49">
        <v>64</v>
      </c>
    </row>
    <row r="50" spans="1:10" x14ac:dyDescent="0.2">
      <c r="B50" s="24" t="s">
        <v>118</v>
      </c>
      <c r="C50" s="133">
        <v>194</v>
      </c>
      <c r="I50">
        <v>194</v>
      </c>
    </row>
    <row r="51" spans="1:10" x14ac:dyDescent="0.2">
      <c r="B51" s="98" t="s">
        <v>74</v>
      </c>
      <c r="C51" s="133">
        <v>31</v>
      </c>
      <c r="F51">
        <v>30.98</v>
      </c>
      <c r="I51">
        <v>31</v>
      </c>
    </row>
    <row r="52" spans="1:10" x14ac:dyDescent="0.2">
      <c r="B52" s="98" t="s">
        <v>73</v>
      </c>
      <c r="C52" s="133">
        <v>23</v>
      </c>
      <c r="F52">
        <v>22.72</v>
      </c>
      <c r="I52">
        <v>23</v>
      </c>
    </row>
    <row r="53" spans="1:10" x14ac:dyDescent="0.2">
      <c r="B53" s="98" t="s">
        <v>75</v>
      </c>
      <c r="C53" s="133">
        <v>52</v>
      </c>
      <c r="F53">
        <v>51.64</v>
      </c>
      <c r="I53">
        <v>52</v>
      </c>
    </row>
    <row r="54" spans="1:10" x14ac:dyDescent="0.2">
      <c r="B54" s="24" t="s">
        <v>131</v>
      </c>
      <c r="C54" s="133">
        <v>137</v>
      </c>
      <c r="D54">
        <v>137</v>
      </c>
      <c r="I54">
        <v>137</v>
      </c>
      <c r="J54" t="s">
        <v>226</v>
      </c>
    </row>
    <row r="55" spans="1:10" x14ac:dyDescent="0.2">
      <c r="B55" s="24" t="s">
        <v>135</v>
      </c>
      <c r="C55" s="133">
        <v>185</v>
      </c>
      <c r="D55">
        <v>185</v>
      </c>
      <c r="I55">
        <v>185</v>
      </c>
    </row>
    <row r="56" spans="1:10" x14ac:dyDescent="0.2">
      <c r="B56" s="24" t="s">
        <v>132</v>
      </c>
      <c r="C56" s="133">
        <v>238</v>
      </c>
      <c r="D56">
        <v>238</v>
      </c>
      <c r="I56">
        <v>238</v>
      </c>
    </row>
    <row r="57" spans="1:10" x14ac:dyDescent="0.2">
      <c r="B57" s="24" t="s">
        <v>133</v>
      </c>
      <c r="C57" s="133">
        <v>342</v>
      </c>
      <c r="D57">
        <v>342</v>
      </c>
      <c r="I57">
        <v>342</v>
      </c>
    </row>
    <row r="58" spans="1:10" x14ac:dyDescent="0.2">
      <c r="B58" s="24" t="s">
        <v>134</v>
      </c>
      <c r="C58" s="133">
        <v>442</v>
      </c>
      <c r="D58">
        <v>442</v>
      </c>
      <c r="I58">
        <v>442</v>
      </c>
    </row>
    <row r="59" spans="1:10" x14ac:dyDescent="0.2">
      <c r="B59" s="24"/>
      <c r="C59" s="82"/>
    </row>
    <row r="60" spans="1:10" x14ac:dyDescent="0.2">
      <c r="B60" s="24"/>
      <c r="C60" s="82"/>
    </row>
    <row r="61" spans="1:10" x14ac:dyDescent="0.2">
      <c r="B61" s="7"/>
      <c r="C61" s="94"/>
    </row>
    <row r="62" spans="1:10" x14ac:dyDescent="0.2">
      <c r="B62" s="54"/>
      <c r="C62" s="95"/>
    </row>
    <row r="63" spans="1:10" x14ac:dyDescent="0.2">
      <c r="C63" s="96"/>
      <c r="D63" s="20"/>
    </row>
    <row r="64" spans="1:10" ht="15.75" x14ac:dyDescent="0.25">
      <c r="A64" s="13" t="s">
        <v>78</v>
      </c>
      <c r="C64" s="96"/>
      <c r="D64" s="20"/>
      <c r="I64" s="129" t="s">
        <v>244</v>
      </c>
    </row>
    <row r="65" spans="1:9" ht="14.25" x14ac:dyDescent="0.2">
      <c r="B65" s="25" t="s">
        <v>205</v>
      </c>
      <c r="C65" s="93">
        <v>3</v>
      </c>
      <c r="D65">
        <v>3</v>
      </c>
      <c r="I65">
        <v>3</v>
      </c>
    </row>
    <row r="66" spans="1:9" ht="14.25" x14ac:dyDescent="0.2">
      <c r="B66" s="26" t="s">
        <v>227</v>
      </c>
      <c r="C66" s="82">
        <v>33</v>
      </c>
      <c r="D66">
        <v>31</v>
      </c>
      <c r="E66">
        <v>20</v>
      </c>
      <c r="F66">
        <v>30</v>
      </c>
      <c r="G66">
        <v>40</v>
      </c>
      <c r="I66">
        <v>33</v>
      </c>
    </row>
    <row r="67" spans="1:9" ht="14.25" x14ac:dyDescent="0.2">
      <c r="B67" s="26" t="s">
        <v>79</v>
      </c>
      <c r="C67" s="94">
        <v>6</v>
      </c>
      <c r="D67">
        <v>8</v>
      </c>
      <c r="I67">
        <v>6</v>
      </c>
    </row>
    <row r="68" spans="1:9" ht="14.25" x14ac:dyDescent="0.2">
      <c r="B68" s="26" t="s">
        <v>80</v>
      </c>
      <c r="C68" s="94">
        <v>8</v>
      </c>
      <c r="D68">
        <v>8</v>
      </c>
      <c r="I68">
        <v>8</v>
      </c>
    </row>
    <row r="69" spans="1:9" ht="14.25" x14ac:dyDescent="0.2">
      <c r="B69" s="26" t="s">
        <v>81</v>
      </c>
      <c r="C69" s="94">
        <v>1</v>
      </c>
      <c r="D69">
        <v>1</v>
      </c>
      <c r="I69">
        <v>1</v>
      </c>
    </row>
    <row r="70" spans="1:9" x14ac:dyDescent="0.2">
      <c r="B70" s="27" t="s">
        <v>82</v>
      </c>
      <c r="C70" s="74"/>
    </row>
    <row r="71" spans="1:9" x14ac:dyDescent="0.2">
      <c r="B71" s="28"/>
      <c r="C71" s="1"/>
      <c r="D71" s="1"/>
    </row>
    <row r="72" spans="1:9" ht="15.75" x14ac:dyDescent="0.25">
      <c r="A72" s="13" t="s">
        <v>83</v>
      </c>
      <c r="D72" s="20"/>
    </row>
    <row r="73" spans="1:9" ht="15.75" x14ac:dyDescent="0.25">
      <c r="A73" s="13"/>
      <c r="B73" s="5" t="s">
        <v>84</v>
      </c>
      <c r="C73" s="29">
        <f>30+K13+K14</f>
        <v>46.07</v>
      </c>
      <c r="D73" s="135" t="s">
        <v>249</v>
      </c>
    </row>
    <row r="74" spans="1:9" ht="15.75" x14ac:dyDescent="0.25">
      <c r="A74" s="13"/>
      <c r="B74" s="7" t="s">
        <v>101</v>
      </c>
      <c r="C74" s="15">
        <v>742</v>
      </c>
    </row>
    <row r="75" spans="1:9" ht="15.75" x14ac:dyDescent="0.25">
      <c r="A75" s="13"/>
      <c r="B75" s="8" t="s">
        <v>85</v>
      </c>
      <c r="C75" s="19">
        <v>742</v>
      </c>
    </row>
    <row r="76" spans="1:9" ht="15.75" x14ac:dyDescent="0.25">
      <c r="A76" s="13"/>
      <c r="D76" s="20"/>
    </row>
    <row r="77" spans="1:9" ht="15.75" x14ac:dyDescent="0.25">
      <c r="A77" s="13" t="s">
        <v>86</v>
      </c>
      <c r="D77" s="20"/>
    </row>
    <row r="78" spans="1:9" x14ac:dyDescent="0.2">
      <c r="B78" s="30" t="s">
        <v>87</v>
      </c>
      <c r="C78" s="31">
        <v>33</v>
      </c>
    </row>
    <row r="79" spans="1:9" x14ac:dyDescent="0.2">
      <c r="C79" s="20"/>
    </row>
    <row r="80" spans="1:9" ht="15.75" x14ac:dyDescent="0.25">
      <c r="A80" s="13" t="s">
        <v>88</v>
      </c>
      <c r="C80" s="20"/>
    </row>
    <row r="81" spans="1:4" x14ac:dyDescent="0.2">
      <c r="B81" s="5" t="s">
        <v>129</v>
      </c>
      <c r="C81" s="29">
        <v>40</v>
      </c>
      <c r="D81" t="s">
        <v>123</v>
      </c>
    </row>
    <row r="82" spans="1:4" x14ac:dyDescent="0.2">
      <c r="B82" s="7" t="s">
        <v>130</v>
      </c>
      <c r="C82" s="15">
        <v>15</v>
      </c>
    </row>
    <row r="83" spans="1:4" x14ac:dyDescent="0.2">
      <c r="B83" s="7" t="s">
        <v>125</v>
      </c>
      <c r="C83" s="15">
        <v>100</v>
      </c>
      <c r="D83" t="s">
        <v>89</v>
      </c>
    </row>
    <row r="84" spans="1:4" x14ac:dyDescent="0.2">
      <c r="B84" s="7" t="s">
        <v>140</v>
      </c>
      <c r="C84" s="15">
        <v>50</v>
      </c>
      <c r="D84" t="s">
        <v>89</v>
      </c>
    </row>
    <row r="85" spans="1:4" x14ac:dyDescent="0.2">
      <c r="B85" s="7" t="s">
        <v>141</v>
      </c>
      <c r="C85" s="15">
        <v>75</v>
      </c>
      <c r="D85" t="s">
        <v>89</v>
      </c>
    </row>
    <row r="86" spans="1:4" x14ac:dyDescent="0.2">
      <c r="B86" s="8" t="s">
        <v>142</v>
      </c>
      <c r="C86" s="19">
        <v>100</v>
      </c>
      <c r="D86" t="s">
        <v>89</v>
      </c>
    </row>
    <row r="87" spans="1:4" x14ac:dyDescent="0.2">
      <c r="C87" s="20"/>
    </row>
    <row r="88" spans="1:4" ht="15.75" x14ac:dyDescent="0.25">
      <c r="A88" s="13" t="s">
        <v>152</v>
      </c>
      <c r="D88" s="20"/>
    </row>
    <row r="89" spans="1:4" x14ac:dyDescent="0.2">
      <c r="B89" s="1"/>
      <c r="C89" s="63"/>
    </row>
    <row r="90" spans="1:4" x14ac:dyDescent="0.2">
      <c r="B90" s="5" t="s">
        <v>153</v>
      </c>
      <c r="C90" s="29">
        <v>50</v>
      </c>
    </row>
    <row r="91" spans="1:4" x14ac:dyDescent="0.2">
      <c r="B91" s="7" t="s">
        <v>154</v>
      </c>
      <c r="C91" s="15">
        <v>100</v>
      </c>
    </row>
    <row r="92" spans="1:4" x14ac:dyDescent="0.2">
      <c r="B92" s="8" t="s">
        <v>155</v>
      </c>
      <c r="C92" s="19">
        <v>200</v>
      </c>
    </row>
    <row r="93" spans="1:4" x14ac:dyDescent="0.2">
      <c r="D93" s="32"/>
    </row>
    <row r="94" spans="1:4" ht="15.75" x14ac:dyDescent="0.25">
      <c r="A94" s="13" t="s">
        <v>90</v>
      </c>
      <c r="D94" s="32"/>
    </row>
    <row r="95" spans="1:4" x14ac:dyDescent="0.2">
      <c r="B95" s="30" t="s">
        <v>91</v>
      </c>
      <c r="C95" s="33" t="s">
        <v>92</v>
      </c>
      <c r="D95" s="32"/>
    </row>
  </sheetData>
  <phoneticPr fontId="3" type="noConversion"/>
  <pageMargins left="0.75" right="0.75" top="1" bottom="1" header="0.5" footer="0.5"/>
  <pageSetup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Y51"/>
  <sheetViews>
    <sheetView topLeftCell="C1" workbookViewId="0">
      <selection activeCell="S2" sqref="S2"/>
    </sheetView>
  </sheetViews>
  <sheetFormatPr defaultRowHeight="12.75" x14ac:dyDescent="0.2"/>
  <cols>
    <col min="1" max="1" width="14.140625" customWidth="1"/>
  </cols>
  <sheetData>
    <row r="1" spans="1:25" x14ac:dyDescent="0.2">
      <c r="A1" s="2" t="s">
        <v>6</v>
      </c>
      <c r="E1" s="69" t="s">
        <v>168</v>
      </c>
      <c r="J1" s="69" t="s">
        <v>169</v>
      </c>
      <c r="O1" s="69" t="s">
        <v>185</v>
      </c>
      <c r="Q1" s="69" t="s">
        <v>185</v>
      </c>
      <c r="S1" s="69" t="s">
        <v>214</v>
      </c>
      <c r="X1" t="s">
        <v>109</v>
      </c>
      <c r="Y1" t="s">
        <v>143</v>
      </c>
    </row>
    <row r="2" spans="1:25" x14ac:dyDescent="0.2">
      <c r="A2" s="3" t="s">
        <v>10</v>
      </c>
      <c r="E2" s="67" t="s">
        <v>157</v>
      </c>
      <c r="J2" s="67" t="s">
        <v>157</v>
      </c>
      <c r="O2" t="s">
        <v>186</v>
      </c>
      <c r="Q2" t="s">
        <v>186</v>
      </c>
      <c r="S2" t="s">
        <v>186</v>
      </c>
      <c r="X2" t="s">
        <v>110</v>
      </c>
      <c r="Y2" t="s">
        <v>137</v>
      </c>
    </row>
    <row r="3" spans="1:25" x14ac:dyDescent="0.2">
      <c r="A3" s="3" t="s">
        <v>12</v>
      </c>
      <c r="E3" s="67" t="s">
        <v>158</v>
      </c>
      <c r="J3" s="67" t="s">
        <v>158</v>
      </c>
      <c r="O3" t="s">
        <v>187</v>
      </c>
      <c r="Q3" t="s">
        <v>187</v>
      </c>
      <c r="S3" t="s">
        <v>187</v>
      </c>
      <c r="Y3" t="s">
        <v>138</v>
      </c>
    </row>
    <row r="4" spans="1:25" x14ac:dyDescent="0.2">
      <c r="A4" s="3" t="s">
        <v>150</v>
      </c>
      <c r="B4" s="3"/>
      <c r="E4" s="67" t="s">
        <v>159</v>
      </c>
      <c r="J4" s="67" t="s">
        <v>159</v>
      </c>
      <c r="O4" t="s">
        <v>188</v>
      </c>
      <c r="Q4" t="s">
        <v>188</v>
      </c>
      <c r="S4" t="s">
        <v>188</v>
      </c>
      <c r="Y4" t="s">
        <v>139</v>
      </c>
    </row>
    <row r="5" spans="1:25" x14ac:dyDescent="0.2">
      <c r="A5" s="3" t="s">
        <v>21</v>
      </c>
      <c r="E5" s="67" t="s">
        <v>160</v>
      </c>
      <c r="J5" s="67" t="s">
        <v>160</v>
      </c>
      <c r="O5" t="s">
        <v>189</v>
      </c>
      <c r="Q5" t="s">
        <v>213</v>
      </c>
      <c r="S5" t="s">
        <v>213</v>
      </c>
    </row>
    <row r="6" spans="1:25" x14ac:dyDescent="0.2">
      <c r="A6" s="3" t="s">
        <v>16</v>
      </c>
      <c r="E6" s="68" t="s">
        <v>161</v>
      </c>
      <c r="J6" s="67" t="s">
        <v>161</v>
      </c>
      <c r="S6" t="s">
        <v>189</v>
      </c>
    </row>
    <row r="7" spans="1:25" x14ac:dyDescent="0.2">
      <c r="A7" s="3" t="s">
        <v>9</v>
      </c>
      <c r="E7" s="68" t="s">
        <v>163</v>
      </c>
      <c r="J7" s="67" t="s">
        <v>162</v>
      </c>
    </row>
    <row r="8" spans="1:25" x14ac:dyDescent="0.2">
      <c r="A8" s="3" t="s">
        <v>22</v>
      </c>
      <c r="J8" s="67" t="s">
        <v>163</v>
      </c>
    </row>
    <row r="9" spans="1:25" x14ac:dyDescent="0.2">
      <c r="A9" s="3" t="s">
        <v>53</v>
      </c>
      <c r="J9" s="67" t="s">
        <v>164</v>
      </c>
    </row>
    <row r="10" spans="1:25" x14ac:dyDescent="0.2">
      <c r="A10" s="3" t="s">
        <v>147</v>
      </c>
      <c r="J10" s="67" t="s">
        <v>170</v>
      </c>
    </row>
    <row r="11" spans="1:25" x14ac:dyDescent="0.2">
      <c r="A11" s="3" t="s">
        <v>23</v>
      </c>
      <c r="J11" s="67" t="s">
        <v>165</v>
      </c>
    </row>
    <row r="12" spans="1:25" x14ac:dyDescent="0.2">
      <c r="A12" s="3" t="s">
        <v>24</v>
      </c>
      <c r="J12" s="67" t="s">
        <v>166</v>
      </c>
    </row>
    <row r="13" spans="1:25" x14ac:dyDescent="0.2">
      <c r="A13" s="2" t="s">
        <v>43</v>
      </c>
      <c r="J13" s="67" t="s">
        <v>167</v>
      </c>
    </row>
    <row r="14" spans="1:25" x14ac:dyDescent="0.2">
      <c r="A14" s="3" t="s">
        <v>25</v>
      </c>
      <c r="J14" s="67"/>
    </row>
    <row r="15" spans="1:25" x14ac:dyDescent="0.2">
      <c r="A15" s="2" t="s">
        <v>47</v>
      </c>
      <c r="J15" s="67"/>
    </row>
    <row r="16" spans="1:25" x14ac:dyDescent="0.2">
      <c r="A16" s="3" t="s">
        <v>34</v>
      </c>
    </row>
    <row r="17" spans="1:1" x14ac:dyDescent="0.2">
      <c r="A17" s="3" t="s">
        <v>26</v>
      </c>
    </row>
    <row r="18" spans="1:1" x14ac:dyDescent="0.2">
      <c r="A18" s="3" t="s">
        <v>15</v>
      </c>
    </row>
    <row r="19" spans="1:1" x14ac:dyDescent="0.2">
      <c r="A19" s="3" t="s">
        <v>36</v>
      </c>
    </row>
    <row r="20" spans="1:1" x14ac:dyDescent="0.2">
      <c r="A20" s="3" t="s">
        <v>11</v>
      </c>
    </row>
    <row r="21" spans="1:1" x14ac:dyDescent="0.2">
      <c r="A21" s="3" t="s">
        <v>18</v>
      </c>
    </row>
    <row r="22" spans="1:1" x14ac:dyDescent="0.2">
      <c r="A22" s="2" t="s">
        <v>46</v>
      </c>
    </row>
    <row r="23" spans="1:1" x14ac:dyDescent="0.2">
      <c r="A23" s="2" t="s">
        <v>40</v>
      </c>
    </row>
    <row r="24" spans="1:1" x14ac:dyDescent="0.2">
      <c r="A24" s="3" t="s">
        <v>17</v>
      </c>
    </row>
    <row r="25" spans="1:1" x14ac:dyDescent="0.2">
      <c r="A25" s="2" t="s">
        <v>42</v>
      </c>
    </row>
    <row r="26" spans="1:1" x14ac:dyDescent="0.2">
      <c r="A26" s="3" t="s">
        <v>27</v>
      </c>
    </row>
    <row r="27" spans="1:1" x14ac:dyDescent="0.2">
      <c r="A27" s="3" t="s">
        <v>20</v>
      </c>
    </row>
    <row r="28" spans="1:1" x14ac:dyDescent="0.2">
      <c r="A28" s="3" t="s">
        <v>33</v>
      </c>
    </row>
    <row r="29" spans="1:1" x14ac:dyDescent="0.2">
      <c r="A29" s="3" t="s">
        <v>37</v>
      </c>
    </row>
    <row r="30" spans="1:1" x14ac:dyDescent="0.2">
      <c r="A30" s="3" t="s">
        <v>7</v>
      </c>
    </row>
    <row r="31" spans="1:1" x14ac:dyDescent="0.2">
      <c r="A31" s="3" t="s">
        <v>38</v>
      </c>
    </row>
    <row r="32" spans="1:1" x14ac:dyDescent="0.2">
      <c r="A32" s="3" t="s">
        <v>35</v>
      </c>
    </row>
    <row r="33" spans="1:1" x14ac:dyDescent="0.2">
      <c r="A33" s="3" t="s">
        <v>28</v>
      </c>
    </row>
    <row r="34" spans="1:1" x14ac:dyDescent="0.2">
      <c r="A34" s="2" t="s">
        <v>44</v>
      </c>
    </row>
    <row r="35" spans="1:1" x14ac:dyDescent="0.2">
      <c r="A35" s="3" t="s">
        <v>8</v>
      </c>
    </row>
    <row r="36" spans="1:1" x14ac:dyDescent="0.2">
      <c r="A36" s="3" t="s">
        <v>13</v>
      </c>
    </row>
    <row r="37" spans="1:1" x14ac:dyDescent="0.2">
      <c r="A37" s="3" t="s">
        <v>31</v>
      </c>
    </row>
    <row r="38" spans="1:1" x14ac:dyDescent="0.2">
      <c r="A38" s="2" t="s">
        <v>41</v>
      </c>
    </row>
    <row r="39" spans="1:1" x14ac:dyDescent="0.2">
      <c r="A39" s="2" t="s">
        <v>39</v>
      </c>
    </row>
    <row r="40" spans="1:1" x14ac:dyDescent="0.2">
      <c r="A40" s="2" t="s">
        <v>45</v>
      </c>
    </row>
    <row r="41" spans="1:1" x14ac:dyDescent="0.2">
      <c r="A41" s="4" t="s">
        <v>52</v>
      </c>
    </row>
    <row r="42" spans="1:1" x14ac:dyDescent="0.2">
      <c r="A42" s="3" t="s">
        <v>19</v>
      </c>
    </row>
    <row r="43" spans="1:1" x14ac:dyDescent="0.2">
      <c r="A43" s="3" t="s">
        <v>29</v>
      </c>
    </row>
    <row r="44" spans="1:1" x14ac:dyDescent="0.2">
      <c r="A44" s="3" t="s">
        <v>30</v>
      </c>
    </row>
    <row r="45" spans="1:1" x14ac:dyDescent="0.2">
      <c r="A45" s="3" t="s">
        <v>32</v>
      </c>
    </row>
    <row r="46" spans="1:1" x14ac:dyDescent="0.2">
      <c r="A46" s="2" t="s">
        <v>51</v>
      </c>
    </row>
    <row r="47" spans="1:1" x14ac:dyDescent="0.2">
      <c r="A47" s="2" t="s">
        <v>49</v>
      </c>
    </row>
    <row r="48" spans="1:1" x14ac:dyDescent="0.2">
      <c r="A48" s="3" t="s">
        <v>14</v>
      </c>
    </row>
    <row r="49" spans="1:1" x14ac:dyDescent="0.2">
      <c r="A49" s="2" t="s">
        <v>50</v>
      </c>
    </row>
    <row r="50" spans="1:1" x14ac:dyDescent="0.2">
      <c r="A50" s="2" t="s">
        <v>48</v>
      </c>
    </row>
    <row r="51" spans="1:1" x14ac:dyDescent="0.2">
      <c r="A51" s="2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Template</vt:lpstr>
      <vt:lpstr>Cost avoidance</vt:lpstr>
      <vt:lpstr>Pricelist</vt:lpstr>
      <vt:lpstr>Departments</vt:lpstr>
      <vt:lpstr>Departments!Extract</vt:lpstr>
      <vt:lpstr>Funding_Stream</vt:lpstr>
      <vt:lpstr>Funding_Stream1</vt:lpstr>
      <vt:lpstr>Funding_Stream2</vt:lpstr>
      <vt:lpstr>image</vt:lpstr>
      <vt:lpstr>Departments!Print_Area</vt:lpstr>
      <vt:lpstr>Pricelist!Print_Area</vt:lpstr>
      <vt:lpstr>recruitdescription</vt:lpstr>
      <vt:lpstr>screeningdescription</vt:lpstr>
      <vt:lpstr>Service_support</vt:lpstr>
      <vt:lpstr>specialty</vt:lpstr>
      <vt:lpstr>yesno</vt:lpstr>
      <vt:lpstr>yespharm</vt:lpstr>
    </vt:vector>
  </TitlesOfParts>
  <Company>RD&amp;E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collierp</dc:creator>
  <cp:lastModifiedBy>Jonesnic</cp:lastModifiedBy>
  <cp:lastPrinted>2016-11-07T14:54:27Z</cp:lastPrinted>
  <dcterms:created xsi:type="dcterms:W3CDTF">2009-03-23T10:35:56Z</dcterms:created>
  <dcterms:modified xsi:type="dcterms:W3CDTF">2022-05-12T15:52:12Z</dcterms:modified>
</cp:coreProperties>
</file>